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rejchovar\Desktop\"/>
    </mc:Choice>
  </mc:AlternateContent>
  <bookViews>
    <workbookView xWindow="0" yWindow="0" windowWidth="23040" windowHeight="9204" activeTab="1"/>
  </bookViews>
  <sheets>
    <sheet name="List1" sheetId="1" r:id="rId1"/>
    <sheet name="Tabulka propočtu, verze 2020" sheetId="2" r:id="rId2"/>
  </sheets>
  <externalReferences>
    <externalReference r:id="rId3"/>
  </externalReferences>
  <definedNames>
    <definedName name="_xlnm._FilterDatabase" localSheetId="1" hidden="1">'Tabulka propočtu, verze 2020'!$O$1:$O$2690</definedName>
    <definedName name="_xlnm.Print_Titles" localSheetId="1">'Tabulka propočtu, verze 2020'!$2:$6</definedName>
    <definedName name="_xlnm.Print_Area" localSheetId="1">'Tabulka propočtu, verze 2020'!$A$2:$CW$289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" i="2" l="1"/>
  <c r="AO2" i="2"/>
  <c r="BF2" i="2"/>
  <c r="BO2" i="2"/>
  <c r="BW2" i="2"/>
  <c r="CF2" i="2"/>
  <c r="CN2" i="2"/>
  <c r="B3" i="2"/>
  <c r="C3" i="2"/>
  <c r="P4" i="2"/>
  <c r="X4" i="2" s="1"/>
  <c r="AG4" i="2"/>
  <c r="AO4" i="2"/>
  <c r="AX4" i="2"/>
  <c r="BF4" i="2"/>
  <c r="BO4" i="2"/>
  <c r="BW4" i="2" s="1"/>
  <c r="CF4" i="2"/>
  <c r="CN4" i="2" s="1"/>
  <c r="K5" i="2"/>
  <c r="L5" i="2"/>
  <c r="M5" i="2"/>
  <c r="P5" i="2"/>
  <c r="X5" i="2" s="1"/>
  <c r="Z5" i="2"/>
  <c r="AG5" i="2" s="1"/>
  <c r="AO5" i="2" s="1"/>
  <c r="AA5" i="2"/>
  <c r="AB5" i="2"/>
  <c r="AC5" i="2"/>
  <c r="AD5" i="2"/>
  <c r="AQ5" i="2"/>
  <c r="AX5" i="2" s="1"/>
  <c r="BF5" i="2" s="1"/>
  <c r="BO5" i="2"/>
  <c r="BW5" i="2" s="1"/>
  <c r="CF5" i="2"/>
  <c r="CN5" i="2" s="1"/>
  <c r="CU5" i="2"/>
  <c r="G6" i="2"/>
  <c r="J6" i="2"/>
  <c r="F7" i="2"/>
  <c r="G7" i="2" s="1"/>
  <c r="N7" i="2"/>
  <c r="X7" i="2"/>
  <c r="AE7" i="2"/>
  <c r="AO7" i="2"/>
  <c r="AV7" i="2"/>
  <c r="BM7" i="2"/>
  <c r="BP7" i="2"/>
  <c r="BQ7" i="2"/>
  <c r="BR7" i="2"/>
  <c r="BS7" i="2"/>
  <c r="BT7" i="2"/>
  <c r="BU7" i="2"/>
  <c r="CD7" i="2"/>
  <c r="CG7" i="2"/>
  <c r="CH7" i="2"/>
  <c r="CI7" i="2"/>
  <c r="CJ7" i="2"/>
  <c r="CK7" i="2"/>
  <c r="CL7" i="2"/>
  <c r="CU7" i="2"/>
  <c r="F8" i="2"/>
  <c r="G8" i="2" s="1"/>
  <c r="CF8" i="2" s="1"/>
  <c r="N8" i="2"/>
  <c r="X8" i="2"/>
  <c r="AE8" i="2"/>
  <c r="AO8" i="2"/>
  <c r="AV8" i="2"/>
  <c r="BM8" i="2"/>
  <c r="CD8" i="2"/>
  <c r="CU8" i="2"/>
  <c r="F9" i="2"/>
  <c r="G9" i="2" s="1"/>
  <c r="CF9" i="2" s="1"/>
  <c r="N9" i="2"/>
  <c r="X9" i="2"/>
  <c r="AE9" i="2"/>
  <c r="AO9" i="2"/>
  <c r="AV9" i="2"/>
  <c r="BM9" i="2"/>
  <c r="BO9" i="2"/>
  <c r="CD9" i="2"/>
  <c r="CU9" i="2"/>
  <c r="F10" i="2"/>
  <c r="G10" i="2" s="1"/>
  <c r="CF10" i="2" s="1"/>
  <c r="N10" i="2"/>
  <c r="X10" i="2"/>
  <c r="AE10" i="2"/>
  <c r="AO10" i="2"/>
  <c r="AV10" i="2"/>
  <c r="BM10" i="2"/>
  <c r="CD10" i="2"/>
  <c r="CU10" i="2"/>
  <c r="F11" i="2"/>
  <c r="G11" i="2" s="1"/>
  <c r="CF11" i="2" s="1"/>
  <c r="N11" i="2"/>
  <c r="X11" i="2"/>
  <c r="AE11" i="2"/>
  <c r="AO11" i="2"/>
  <c r="AV11" i="2"/>
  <c r="BM11" i="2"/>
  <c r="BO11" i="2"/>
  <c r="CD11" i="2"/>
  <c r="CU11" i="2"/>
  <c r="F12" i="2"/>
  <c r="G12" i="2" s="1"/>
  <c r="CF12" i="2" s="1"/>
  <c r="N12" i="2"/>
  <c r="X12" i="2"/>
  <c r="AE12" i="2"/>
  <c r="AO12" i="2"/>
  <c r="AV12" i="2"/>
  <c r="BM12" i="2"/>
  <c r="CD12" i="2"/>
  <c r="CU12" i="2"/>
  <c r="F13" i="2"/>
  <c r="G13" i="2" s="1"/>
  <c r="CF13" i="2" s="1"/>
  <c r="N13" i="2"/>
  <c r="X13" i="2"/>
  <c r="AE13" i="2"/>
  <c r="AO13" i="2"/>
  <c r="AV13" i="2"/>
  <c r="BM13" i="2"/>
  <c r="CD13" i="2"/>
  <c r="CU13" i="2"/>
  <c r="F14" i="2"/>
  <c r="G14" i="2" s="1"/>
  <c r="CF14" i="2" s="1"/>
  <c r="N14" i="2"/>
  <c r="X14" i="2"/>
  <c r="AE14" i="2"/>
  <c r="AO14" i="2"/>
  <c r="AV14" i="2"/>
  <c r="BM14" i="2"/>
  <c r="CD14" i="2"/>
  <c r="CU14" i="2"/>
  <c r="F15" i="2"/>
  <c r="G15" i="2" s="1"/>
  <c r="CF15" i="2" s="1"/>
  <c r="N15" i="2"/>
  <c r="X15" i="2"/>
  <c r="AE15" i="2"/>
  <c r="AO15" i="2"/>
  <c r="AV15" i="2"/>
  <c r="BM15" i="2"/>
  <c r="BO15" i="2"/>
  <c r="CD15" i="2"/>
  <c r="CU15" i="2"/>
  <c r="F16" i="2"/>
  <c r="G16" i="2" s="1"/>
  <c r="CF16" i="2" s="1"/>
  <c r="N16" i="2"/>
  <c r="X16" i="2"/>
  <c r="AE16" i="2"/>
  <c r="AO16" i="2"/>
  <c r="AV16" i="2"/>
  <c r="BM16" i="2"/>
  <c r="BO16" i="2"/>
  <c r="CD16" i="2"/>
  <c r="CU16" i="2"/>
  <c r="F17" i="2"/>
  <c r="G17" i="2" s="1"/>
  <c r="CF17" i="2" s="1"/>
  <c r="N17" i="2"/>
  <c r="X17" i="2"/>
  <c r="AE17" i="2"/>
  <c r="AO17" i="2"/>
  <c r="AV17" i="2"/>
  <c r="BM17" i="2"/>
  <c r="CD17" i="2"/>
  <c r="CU17" i="2"/>
  <c r="F18" i="2"/>
  <c r="G18" i="2" s="1"/>
  <c r="CF18" i="2" s="1"/>
  <c r="N18" i="2"/>
  <c r="X18" i="2"/>
  <c r="AE18" i="2"/>
  <c r="AO18" i="2"/>
  <c r="AV18" i="2"/>
  <c r="BM18" i="2"/>
  <c r="BO18" i="2" s="1"/>
  <c r="CD18" i="2"/>
  <c r="CU18" i="2"/>
  <c r="G19" i="2"/>
  <c r="CF19" i="2" s="1"/>
  <c r="N19" i="2"/>
  <c r="X19" i="2"/>
  <c r="AE19" i="2"/>
  <c r="AO19" i="2"/>
  <c r="AV19" i="2"/>
  <c r="BM19" i="2"/>
  <c r="BO19" i="2"/>
  <c r="CQ19" i="2" s="1"/>
  <c r="CD19" i="2"/>
  <c r="CU19" i="2"/>
  <c r="G20" i="2"/>
  <c r="N20" i="2"/>
  <c r="X20" i="2"/>
  <c r="AE20" i="2"/>
  <c r="AO20" i="2"/>
  <c r="AV20" i="2"/>
  <c r="BM20" i="2"/>
  <c r="CD20" i="2"/>
  <c r="CU20" i="2"/>
  <c r="G21" i="2"/>
  <c r="BO21" i="2" s="1"/>
  <c r="N21" i="2"/>
  <c r="X21" i="2"/>
  <c r="X24" i="2" s="1"/>
  <c r="AE21" i="2"/>
  <c r="AO21" i="2"/>
  <c r="AV21" i="2"/>
  <c r="BM21" i="2"/>
  <c r="CD21" i="2"/>
  <c r="CF21" i="2" s="1"/>
  <c r="CU21" i="2"/>
  <c r="G22" i="2"/>
  <c r="X22" i="2"/>
  <c r="AO22" i="2"/>
  <c r="BO22" i="2"/>
  <c r="CF22" i="2"/>
  <c r="G23" i="2"/>
  <c r="X23" i="2"/>
  <c r="AO23" i="2"/>
  <c r="BO23" i="2"/>
  <c r="CF23" i="2"/>
  <c r="CQ23" i="2"/>
  <c r="AO24" i="2"/>
  <c r="F25" i="2"/>
  <c r="G25" i="2" s="1"/>
  <c r="N25" i="2"/>
  <c r="X25" i="2"/>
  <c r="AE25" i="2"/>
  <c r="AO25" i="2"/>
  <c r="AV25" i="2"/>
  <c r="BM25" i="2"/>
  <c r="BP25" i="2"/>
  <c r="BV25" i="2" s="1"/>
  <c r="BQ25" i="2"/>
  <c r="BR25" i="2"/>
  <c r="BS25" i="2"/>
  <c r="BT25" i="2"/>
  <c r="BU25" i="2"/>
  <c r="CD25" i="2"/>
  <c r="CG25" i="2"/>
  <c r="CM25" i="2" s="1"/>
  <c r="CH25" i="2"/>
  <c r="CI25" i="2"/>
  <c r="CJ25" i="2"/>
  <c r="CK25" i="2"/>
  <c r="CL25" i="2"/>
  <c r="CU25" i="2"/>
  <c r="F26" i="2"/>
  <c r="G26" i="2"/>
  <c r="BO26" i="2" s="1"/>
  <c r="N26" i="2"/>
  <c r="AE26" i="2"/>
  <c r="AO26" i="2"/>
  <c r="AV26" i="2"/>
  <c r="BM26" i="2"/>
  <c r="CD26" i="2"/>
  <c r="CU26" i="2"/>
  <c r="F27" i="2"/>
  <c r="G27" i="2"/>
  <c r="N27" i="2"/>
  <c r="X27" i="2"/>
  <c r="AE27" i="2"/>
  <c r="AO27" i="2"/>
  <c r="AV27" i="2"/>
  <c r="BM27" i="2"/>
  <c r="CD27" i="2"/>
  <c r="CU27" i="2"/>
  <c r="F28" i="2"/>
  <c r="G28" i="2"/>
  <c r="N28" i="2"/>
  <c r="X28" i="2"/>
  <c r="AE28" i="2"/>
  <c r="AO28" i="2"/>
  <c r="AV28" i="2"/>
  <c r="BM28" i="2"/>
  <c r="CD28" i="2"/>
  <c r="CU28" i="2"/>
  <c r="F29" i="2"/>
  <c r="G29" i="2"/>
  <c r="N29" i="2"/>
  <c r="X29" i="2"/>
  <c r="AE29" i="2"/>
  <c r="AO29" i="2"/>
  <c r="AV29" i="2"/>
  <c r="BM29" i="2"/>
  <c r="CD29" i="2"/>
  <c r="CU29" i="2"/>
  <c r="F30" i="2"/>
  <c r="G30" i="2"/>
  <c r="N30" i="2"/>
  <c r="X30" i="2"/>
  <c r="AE30" i="2"/>
  <c r="AO30" i="2"/>
  <c r="AV30" i="2"/>
  <c r="BM30" i="2"/>
  <c r="CD30" i="2"/>
  <c r="CU30" i="2"/>
  <c r="F31" i="2"/>
  <c r="G31" i="2"/>
  <c r="N31" i="2"/>
  <c r="X31" i="2"/>
  <c r="AE31" i="2"/>
  <c r="AO31" i="2"/>
  <c r="AV31" i="2"/>
  <c r="BM31" i="2"/>
  <c r="CD31" i="2"/>
  <c r="CU31" i="2"/>
  <c r="F32" i="2"/>
  <c r="G32" i="2"/>
  <c r="N32" i="2"/>
  <c r="X32" i="2"/>
  <c r="AE32" i="2"/>
  <c r="AO32" i="2"/>
  <c r="AV32" i="2"/>
  <c r="BM32" i="2"/>
  <c r="CD32" i="2"/>
  <c r="CU32" i="2"/>
  <c r="F33" i="2"/>
  <c r="G33" i="2"/>
  <c r="N33" i="2"/>
  <c r="X33" i="2"/>
  <c r="AE33" i="2"/>
  <c r="AO33" i="2"/>
  <c r="AV33" i="2"/>
  <c r="BM33" i="2"/>
  <c r="CD33" i="2"/>
  <c r="CU33" i="2"/>
  <c r="F34" i="2"/>
  <c r="G34" i="2"/>
  <c r="N34" i="2"/>
  <c r="X34" i="2"/>
  <c r="AE34" i="2"/>
  <c r="AO34" i="2"/>
  <c r="AV34" i="2"/>
  <c r="BM34" i="2"/>
  <c r="CD34" i="2"/>
  <c r="CU34" i="2"/>
  <c r="F35" i="2"/>
  <c r="G35" i="2"/>
  <c r="N35" i="2"/>
  <c r="X35" i="2"/>
  <c r="AE35" i="2"/>
  <c r="AO35" i="2"/>
  <c r="AV35" i="2"/>
  <c r="BM35" i="2"/>
  <c r="CD35" i="2"/>
  <c r="CU35" i="2"/>
  <c r="G36" i="2"/>
  <c r="N36" i="2"/>
  <c r="X36" i="2"/>
  <c r="AE36" i="2"/>
  <c r="AO36" i="2"/>
  <c r="AV36" i="2"/>
  <c r="BM36" i="2"/>
  <c r="BO36" i="2"/>
  <c r="CD36" i="2"/>
  <c r="CF36" i="2" s="1"/>
  <c r="G37" i="2"/>
  <c r="BO37" i="2" s="1"/>
  <c r="N37" i="2"/>
  <c r="X37" i="2"/>
  <c r="AE37" i="2"/>
  <c r="AO37" i="2"/>
  <c r="AO41" i="2" s="1"/>
  <c r="AV37" i="2"/>
  <c r="BM37" i="2"/>
  <c r="CD37" i="2"/>
  <c r="G38" i="2"/>
  <c r="BO38" i="2" s="1"/>
  <c r="N38" i="2"/>
  <c r="X38" i="2"/>
  <c r="AE38" i="2"/>
  <c r="AO38" i="2"/>
  <c r="AV38" i="2"/>
  <c r="BM38" i="2"/>
  <c r="CD38" i="2"/>
  <c r="CF38" i="2"/>
  <c r="CU38" i="2"/>
  <c r="F39" i="2"/>
  <c r="G39" i="2"/>
  <c r="N39" i="2"/>
  <c r="X39" i="2"/>
  <c r="AE39" i="2"/>
  <c r="AO39" i="2"/>
  <c r="AV39" i="2"/>
  <c r="BM39" i="2"/>
  <c r="BO39" i="2" s="1"/>
  <c r="CD39" i="2"/>
  <c r="CF39" i="2"/>
  <c r="F40" i="2"/>
  <c r="N40" i="2"/>
  <c r="X40" i="2"/>
  <c r="AO40" i="2"/>
  <c r="AV40" i="2"/>
  <c r="BO40" i="2"/>
  <c r="BW40" i="2"/>
  <c r="CS40" i="2" s="1"/>
  <c r="CD40" i="2"/>
  <c r="F42" i="2"/>
  <c r="G42" i="2" s="1"/>
  <c r="BO42" i="2" s="1"/>
  <c r="N42" i="2"/>
  <c r="X42" i="2"/>
  <c r="AE42" i="2"/>
  <c r="AO42" i="2"/>
  <c r="AV42" i="2"/>
  <c r="BM42" i="2"/>
  <c r="BP42" i="2"/>
  <c r="BQ42" i="2"/>
  <c r="BR42" i="2"/>
  <c r="BS42" i="2"/>
  <c r="BT42" i="2"/>
  <c r="BU42" i="2"/>
  <c r="CD42" i="2"/>
  <c r="CG42" i="2"/>
  <c r="CM42" i="2" s="1"/>
  <c r="CN44" i="2" s="1"/>
  <c r="CH42" i="2"/>
  <c r="CI42" i="2"/>
  <c r="CJ42" i="2"/>
  <c r="CK42" i="2"/>
  <c r="CL42" i="2"/>
  <c r="CU42" i="2"/>
  <c r="F43" i="2"/>
  <c r="G43" i="2"/>
  <c r="P43" i="2" s="1"/>
  <c r="N43" i="2"/>
  <c r="X43" i="2"/>
  <c r="AE43" i="2"/>
  <c r="AO43" i="2"/>
  <c r="AV43" i="2"/>
  <c r="BM43" i="2"/>
  <c r="CD43" i="2"/>
  <c r="CU43" i="2"/>
  <c r="G44" i="2"/>
  <c r="N44" i="2"/>
  <c r="P44" i="2"/>
  <c r="X44" i="2"/>
  <c r="AO44" i="2"/>
  <c r="AO57" i="2" s="1"/>
  <c r="BO44" i="2"/>
  <c r="CF44" i="2"/>
  <c r="CQ44" i="2"/>
  <c r="CU44" i="2"/>
  <c r="F45" i="2"/>
  <c r="G45" i="2" s="1"/>
  <c r="CF45" i="2" s="1"/>
  <c r="N45" i="2"/>
  <c r="X45" i="2"/>
  <c r="AE45" i="2"/>
  <c r="AO45" i="2"/>
  <c r="AV45" i="2"/>
  <c r="BM45" i="2"/>
  <c r="CD45" i="2"/>
  <c r="CU45" i="2"/>
  <c r="G46" i="2"/>
  <c r="X46" i="2"/>
  <c r="AO46" i="2"/>
  <c r="BO46" i="2"/>
  <c r="CF46" i="2"/>
  <c r="CQ46" i="2"/>
  <c r="CU46" i="2"/>
  <c r="F47" i="2"/>
  <c r="G47" i="2"/>
  <c r="BO47" i="2" s="1"/>
  <c r="N47" i="2"/>
  <c r="X47" i="2"/>
  <c r="AE47" i="2"/>
  <c r="AO47" i="2"/>
  <c r="AV47" i="2"/>
  <c r="BM47" i="2"/>
  <c r="CD47" i="2"/>
  <c r="CF47" i="2"/>
  <c r="CU47" i="2"/>
  <c r="F48" i="2"/>
  <c r="G48" i="2"/>
  <c r="BO48" i="2" s="1"/>
  <c r="N48" i="2"/>
  <c r="X48" i="2"/>
  <c r="AE48" i="2"/>
  <c r="AO48" i="2"/>
  <c r="AV48" i="2"/>
  <c r="BM48" i="2"/>
  <c r="CD48" i="2"/>
  <c r="CF48" i="2"/>
  <c r="CQ48" i="2"/>
  <c r="CU48" i="2"/>
  <c r="F49" i="2"/>
  <c r="G49" i="2"/>
  <c r="BO49" i="2" s="1"/>
  <c r="N49" i="2"/>
  <c r="X49" i="2"/>
  <c r="AE49" i="2"/>
  <c r="AO49" i="2"/>
  <c r="AV49" i="2"/>
  <c r="BM49" i="2"/>
  <c r="CD49" i="2"/>
  <c r="CF49" i="2"/>
  <c r="CN49" i="2" s="1"/>
  <c r="CU49" i="2"/>
  <c r="F50" i="2"/>
  <c r="G50" i="2"/>
  <c r="BO50" i="2" s="1"/>
  <c r="CQ50" i="2" s="1"/>
  <c r="N50" i="2"/>
  <c r="X50" i="2"/>
  <c r="AE50" i="2"/>
  <c r="AO50" i="2"/>
  <c r="AV50" i="2"/>
  <c r="BM50" i="2"/>
  <c r="CD50" i="2"/>
  <c r="CF50" i="2"/>
  <c r="CU50" i="2"/>
  <c r="G51" i="2"/>
  <c r="X51" i="2"/>
  <c r="AO51" i="2"/>
  <c r="BO51" i="2"/>
  <c r="CF51" i="2"/>
  <c r="CU51" i="2"/>
  <c r="G52" i="2"/>
  <c r="BO52" i="2" s="1"/>
  <c r="N52" i="2"/>
  <c r="X52" i="2"/>
  <c r="AE52" i="2"/>
  <c r="AO52" i="2"/>
  <c r="AV52" i="2"/>
  <c r="BM52" i="2"/>
  <c r="CD52" i="2"/>
  <c r="CF52" i="2" s="1"/>
  <c r="CN52" i="2" s="1"/>
  <c r="CU52" i="2"/>
  <c r="G53" i="2"/>
  <c r="BO53" i="2" s="1"/>
  <c r="N53" i="2"/>
  <c r="X53" i="2"/>
  <c r="AE53" i="2"/>
  <c r="AO53" i="2"/>
  <c r="AV53" i="2"/>
  <c r="BM53" i="2"/>
  <c r="CD53" i="2"/>
  <c r="CF53" i="2"/>
  <c r="CQ53" i="2"/>
  <c r="CU53" i="2"/>
  <c r="G54" i="2"/>
  <c r="N54" i="2"/>
  <c r="X54" i="2"/>
  <c r="AC54" i="2"/>
  <c r="AE54" i="2" s="1"/>
  <c r="AO54" i="2"/>
  <c r="AV54" i="2"/>
  <c r="BM54" i="2"/>
  <c r="BO54" i="2" s="1"/>
  <c r="CD54" i="2"/>
  <c r="CF54" i="2"/>
  <c r="CN54" i="2" s="1"/>
  <c r="CQ54" i="2"/>
  <c r="G55" i="2"/>
  <c r="X55" i="2"/>
  <c r="AO55" i="2"/>
  <c r="BO55" i="2"/>
  <c r="CF55" i="2"/>
  <c r="CN55" i="2"/>
  <c r="CQ55" i="2"/>
  <c r="CU55" i="2"/>
  <c r="G56" i="2"/>
  <c r="X56" i="2"/>
  <c r="AO56" i="2"/>
  <c r="BO56" i="2"/>
  <c r="CF56" i="2"/>
  <c r="CN56" i="2" s="1"/>
  <c r="CU56" i="2"/>
  <c r="F58" i="2"/>
  <c r="G58" i="2" s="1"/>
  <c r="BO58" i="2" s="1"/>
  <c r="BO282" i="2" s="1"/>
  <c r="N58" i="2"/>
  <c r="X58" i="2"/>
  <c r="AE58" i="2"/>
  <c r="AO58" i="2"/>
  <c r="AV58" i="2"/>
  <c r="BM58" i="2"/>
  <c r="BP58" i="2"/>
  <c r="BQ58" i="2"/>
  <c r="BR58" i="2"/>
  <c r="BS58" i="2"/>
  <c r="BT58" i="2"/>
  <c r="BU58" i="2"/>
  <c r="CD58" i="2"/>
  <c r="CG58" i="2"/>
  <c r="CH58" i="2"/>
  <c r="CI58" i="2"/>
  <c r="CJ58" i="2"/>
  <c r="CK58" i="2"/>
  <c r="CL58" i="2"/>
  <c r="CU58" i="2"/>
  <c r="F59" i="2"/>
  <c r="G59" i="2"/>
  <c r="BO59" i="2" s="1"/>
  <c r="N59" i="2"/>
  <c r="X59" i="2"/>
  <c r="AE59" i="2"/>
  <c r="AO59" i="2"/>
  <c r="AV59" i="2"/>
  <c r="BM59" i="2"/>
  <c r="CD59" i="2"/>
  <c r="CU59" i="2"/>
  <c r="F60" i="2"/>
  <c r="G60" i="2"/>
  <c r="BO60" i="2" s="1"/>
  <c r="N60" i="2"/>
  <c r="X60" i="2"/>
  <c r="AE60" i="2"/>
  <c r="AO60" i="2"/>
  <c r="AV60" i="2"/>
  <c r="BM60" i="2"/>
  <c r="CD60" i="2"/>
  <c r="CU60" i="2"/>
  <c r="G61" i="2"/>
  <c r="BO61" i="2" s="1"/>
  <c r="N61" i="2"/>
  <c r="X61" i="2"/>
  <c r="X65" i="2" s="1"/>
  <c r="AE61" i="2"/>
  <c r="AO61" i="2"/>
  <c r="AV61" i="2"/>
  <c r="BM61" i="2"/>
  <c r="CD61" i="2"/>
  <c r="CF61" i="2"/>
  <c r="CQ61" i="2"/>
  <c r="CU61" i="2"/>
  <c r="G62" i="2"/>
  <c r="N62" i="2"/>
  <c r="X62" i="2"/>
  <c r="AE62" i="2"/>
  <c r="AO62" i="2"/>
  <c r="AV62" i="2"/>
  <c r="BM62" i="2"/>
  <c r="BO62" i="2" s="1"/>
  <c r="CD62" i="2"/>
  <c r="CF62" i="2"/>
  <c r="CU62" i="2"/>
  <c r="G63" i="2"/>
  <c r="X63" i="2"/>
  <c r="AO63" i="2"/>
  <c r="BO63" i="2"/>
  <c r="CF63" i="2"/>
  <c r="CQ63" i="2"/>
  <c r="CU63" i="2"/>
  <c r="G64" i="2"/>
  <c r="X64" i="2"/>
  <c r="AO64" i="2"/>
  <c r="BO64" i="2"/>
  <c r="CF64" i="2"/>
  <c r="CU64" i="2"/>
  <c r="F66" i="2"/>
  <c r="G66" i="2" s="1"/>
  <c r="N66" i="2"/>
  <c r="X66" i="2"/>
  <c r="AD66" i="2"/>
  <c r="AE66" i="2"/>
  <c r="AO66" i="2"/>
  <c r="AV66" i="2"/>
  <c r="BM66" i="2"/>
  <c r="BO66" i="2" s="1"/>
  <c r="BP66" i="2"/>
  <c r="BV66" i="2" s="1"/>
  <c r="BW96" i="2" s="1"/>
  <c r="BQ66" i="2"/>
  <c r="BR66" i="2"/>
  <c r="BS66" i="2"/>
  <c r="BT66" i="2"/>
  <c r="BU66" i="2"/>
  <c r="CD66" i="2"/>
  <c r="CF66" i="2" s="1"/>
  <c r="CG66" i="2"/>
  <c r="CM66" i="2" s="1"/>
  <c r="CN97" i="2" s="1"/>
  <c r="CH66" i="2"/>
  <c r="CI66" i="2"/>
  <c r="CJ66" i="2"/>
  <c r="CK66" i="2"/>
  <c r="CL66" i="2"/>
  <c r="CU66" i="2"/>
  <c r="F67" i="2"/>
  <c r="G67" i="2"/>
  <c r="N67" i="2"/>
  <c r="X67" i="2"/>
  <c r="AD67" i="2"/>
  <c r="AO67" i="2"/>
  <c r="AQ67" i="2"/>
  <c r="AV67" i="2"/>
  <c r="BM67" i="2"/>
  <c r="CD67" i="2"/>
  <c r="CF67" i="2" s="1"/>
  <c r="F68" i="2"/>
  <c r="G68" i="2"/>
  <c r="N68" i="2"/>
  <c r="X68" i="2"/>
  <c r="AE68" i="2"/>
  <c r="AO68" i="2"/>
  <c r="AV68" i="2"/>
  <c r="BM68" i="2"/>
  <c r="CD68" i="2"/>
  <c r="CU68" i="2"/>
  <c r="F69" i="2"/>
  <c r="G69" i="2"/>
  <c r="N69" i="2"/>
  <c r="X69" i="2"/>
  <c r="AE69" i="2"/>
  <c r="AO69" i="2"/>
  <c r="AV69" i="2"/>
  <c r="BM69" i="2"/>
  <c r="CD69" i="2"/>
  <c r="CU69" i="2"/>
  <c r="F70" i="2"/>
  <c r="G70" i="2"/>
  <c r="N70" i="2"/>
  <c r="X70" i="2"/>
  <c r="AE70" i="2"/>
  <c r="AO70" i="2"/>
  <c r="AV70" i="2"/>
  <c r="BM70" i="2"/>
  <c r="CD70" i="2"/>
  <c r="CU70" i="2"/>
  <c r="F71" i="2"/>
  <c r="G71" i="2"/>
  <c r="N71" i="2"/>
  <c r="X71" i="2"/>
  <c r="AD71" i="2"/>
  <c r="AE71" i="2"/>
  <c r="AO71" i="2"/>
  <c r="AV71" i="2"/>
  <c r="BM71" i="2"/>
  <c r="BO71" i="2"/>
  <c r="CD71" i="2"/>
  <c r="CU71" i="2"/>
  <c r="F72" i="2"/>
  <c r="G72" i="2" s="1"/>
  <c r="BO72" i="2" s="1"/>
  <c r="N72" i="2"/>
  <c r="X72" i="2"/>
  <c r="AE72" i="2"/>
  <c r="AO72" i="2"/>
  <c r="AV72" i="2"/>
  <c r="BM72" i="2"/>
  <c r="CD72" i="2"/>
  <c r="CU72" i="2"/>
  <c r="F73" i="2"/>
  <c r="G73" i="2" s="1"/>
  <c r="CF73" i="2" s="1"/>
  <c r="N73" i="2"/>
  <c r="X73" i="2"/>
  <c r="AE73" i="2"/>
  <c r="AO73" i="2"/>
  <c r="AV73" i="2"/>
  <c r="BM73" i="2"/>
  <c r="CD73" i="2"/>
  <c r="CU73" i="2"/>
  <c r="F74" i="2"/>
  <c r="G74" i="2" s="1"/>
  <c r="N74" i="2"/>
  <c r="X74" i="2"/>
  <c r="AE74" i="2"/>
  <c r="AO74" i="2"/>
  <c r="AV74" i="2"/>
  <c r="BM74" i="2"/>
  <c r="CD74" i="2"/>
  <c r="CU74" i="2"/>
  <c r="F75" i="2"/>
  <c r="G75" i="2" s="1"/>
  <c r="N75" i="2"/>
  <c r="X75" i="2"/>
  <c r="AE75" i="2"/>
  <c r="AO75" i="2"/>
  <c r="AV75" i="2"/>
  <c r="BM75" i="2"/>
  <c r="CD75" i="2"/>
  <c r="CU75" i="2"/>
  <c r="F76" i="2"/>
  <c r="G76" i="2" s="1"/>
  <c r="N76" i="2"/>
  <c r="X76" i="2"/>
  <c r="AE76" i="2"/>
  <c r="AO76" i="2"/>
  <c r="AV76" i="2"/>
  <c r="BM76" i="2"/>
  <c r="CD76" i="2"/>
  <c r="CU76" i="2"/>
  <c r="F77" i="2"/>
  <c r="G77" i="2" s="1"/>
  <c r="BO77" i="2" s="1"/>
  <c r="N77" i="2"/>
  <c r="X77" i="2"/>
  <c r="AE77" i="2"/>
  <c r="AO77" i="2"/>
  <c r="AV77" i="2"/>
  <c r="BM77" i="2"/>
  <c r="CD77" i="2"/>
  <c r="CU77" i="2"/>
  <c r="F78" i="2"/>
  <c r="G78" i="2" s="1"/>
  <c r="BO78" i="2" s="1"/>
  <c r="N78" i="2"/>
  <c r="X78" i="2"/>
  <c r="AE78" i="2"/>
  <c r="AO78" i="2"/>
  <c r="AV78" i="2"/>
  <c r="BM78" i="2"/>
  <c r="CD78" i="2"/>
  <c r="CU78" i="2"/>
  <c r="F79" i="2"/>
  <c r="G79" i="2" s="1"/>
  <c r="BO79" i="2" s="1"/>
  <c r="N79" i="2"/>
  <c r="X79" i="2"/>
  <c r="AE79" i="2"/>
  <c r="AO79" i="2"/>
  <c r="AV79" i="2"/>
  <c r="BM79" i="2"/>
  <c r="CD79" i="2"/>
  <c r="CU79" i="2"/>
  <c r="F80" i="2"/>
  <c r="G80" i="2" s="1"/>
  <c r="N80" i="2"/>
  <c r="X80" i="2"/>
  <c r="AE80" i="2"/>
  <c r="AO80" i="2"/>
  <c r="AV80" i="2"/>
  <c r="BM80" i="2"/>
  <c r="CD80" i="2"/>
  <c r="CU80" i="2"/>
  <c r="F81" i="2"/>
  <c r="G81" i="2" s="1"/>
  <c r="CF81" i="2" s="1"/>
  <c r="N81" i="2"/>
  <c r="X81" i="2"/>
  <c r="AE81" i="2"/>
  <c r="AO81" i="2"/>
  <c r="AV81" i="2"/>
  <c r="BM81" i="2"/>
  <c r="CD81" i="2"/>
  <c r="CU81" i="2"/>
  <c r="F82" i="2"/>
  <c r="G82" i="2" s="1"/>
  <c r="N82" i="2"/>
  <c r="X82" i="2"/>
  <c r="AE82" i="2"/>
  <c r="AO82" i="2"/>
  <c r="AV82" i="2"/>
  <c r="BM82" i="2"/>
  <c r="CD82" i="2"/>
  <c r="CU82" i="2"/>
  <c r="F83" i="2"/>
  <c r="G83" i="2" s="1"/>
  <c r="N83" i="2"/>
  <c r="X83" i="2"/>
  <c r="AE83" i="2"/>
  <c r="AO83" i="2"/>
  <c r="AV83" i="2"/>
  <c r="BM83" i="2"/>
  <c r="CD83" i="2"/>
  <c r="CU83" i="2"/>
  <c r="F84" i="2"/>
  <c r="G84" i="2" s="1"/>
  <c r="CF84" i="2" s="1"/>
  <c r="N84" i="2"/>
  <c r="X84" i="2"/>
  <c r="AE84" i="2"/>
  <c r="AO84" i="2"/>
  <c r="AV84" i="2"/>
  <c r="BM84" i="2"/>
  <c r="CD84" i="2"/>
  <c r="CU84" i="2"/>
  <c r="F85" i="2"/>
  <c r="G85" i="2" s="1"/>
  <c r="N85" i="2"/>
  <c r="X85" i="2"/>
  <c r="AE85" i="2"/>
  <c r="AO85" i="2"/>
  <c r="AV85" i="2"/>
  <c r="BM85" i="2"/>
  <c r="CD85" i="2"/>
  <c r="CU85" i="2"/>
  <c r="F86" i="2"/>
  <c r="G86" i="2" s="1"/>
  <c r="N86" i="2"/>
  <c r="X86" i="2"/>
  <c r="AE86" i="2"/>
  <c r="AO86" i="2"/>
  <c r="AV86" i="2"/>
  <c r="BM86" i="2"/>
  <c r="CD86" i="2"/>
  <c r="CU86" i="2"/>
  <c r="F87" i="2"/>
  <c r="G87" i="2" s="1"/>
  <c r="N87" i="2"/>
  <c r="X87" i="2"/>
  <c r="AE87" i="2"/>
  <c r="AO87" i="2"/>
  <c r="AV87" i="2"/>
  <c r="BM87" i="2"/>
  <c r="CD87" i="2"/>
  <c r="CU87" i="2"/>
  <c r="F88" i="2"/>
  <c r="G88" i="2" s="1"/>
  <c r="CF88" i="2" s="1"/>
  <c r="N88" i="2"/>
  <c r="X88" i="2"/>
  <c r="AE88" i="2"/>
  <c r="AO88" i="2"/>
  <c r="AV88" i="2"/>
  <c r="BM88" i="2"/>
  <c r="CD88" i="2"/>
  <c r="CU88" i="2"/>
  <c r="F89" i="2"/>
  <c r="G89" i="2" s="1"/>
  <c r="CF89" i="2" s="1"/>
  <c r="N89" i="2"/>
  <c r="X89" i="2"/>
  <c r="AE89" i="2"/>
  <c r="AO89" i="2"/>
  <c r="AV89" i="2"/>
  <c r="BM89" i="2"/>
  <c r="BO89" i="2"/>
  <c r="CD89" i="2"/>
  <c r="CU89" i="2"/>
  <c r="F90" i="2"/>
  <c r="G90" i="2" s="1"/>
  <c r="N90" i="2"/>
  <c r="X90" i="2"/>
  <c r="AE90" i="2"/>
  <c r="AO90" i="2"/>
  <c r="AV90" i="2"/>
  <c r="BM90" i="2"/>
  <c r="CD90" i="2"/>
  <c r="CU90" i="2"/>
  <c r="F91" i="2"/>
  <c r="G91" i="2" s="1"/>
  <c r="N91" i="2"/>
  <c r="X91" i="2"/>
  <c r="AE91" i="2"/>
  <c r="AO91" i="2"/>
  <c r="AV91" i="2"/>
  <c r="BM91" i="2"/>
  <c r="CD91" i="2"/>
  <c r="CU91" i="2"/>
  <c r="F92" i="2"/>
  <c r="G92" i="2" s="1"/>
  <c r="CF92" i="2" s="1"/>
  <c r="N92" i="2"/>
  <c r="X92" i="2"/>
  <c r="AE92" i="2"/>
  <c r="AO92" i="2"/>
  <c r="AV92" i="2"/>
  <c r="BM92" i="2"/>
  <c r="BO92" i="2" s="1"/>
  <c r="CD92" i="2"/>
  <c r="CU92" i="2"/>
  <c r="F93" i="2"/>
  <c r="G93" i="2" s="1"/>
  <c r="CF93" i="2" s="1"/>
  <c r="N93" i="2"/>
  <c r="X93" i="2"/>
  <c r="AD93" i="2"/>
  <c r="AE93" i="2"/>
  <c r="AO93" i="2"/>
  <c r="AV93" i="2"/>
  <c r="BM93" i="2"/>
  <c r="CD93" i="2"/>
  <c r="CU93" i="2"/>
  <c r="G94" i="2"/>
  <c r="N94" i="2"/>
  <c r="X94" i="2"/>
  <c r="AE94" i="2"/>
  <c r="AO94" i="2"/>
  <c r="AV94" i="2"/>
  <c r="BM94" i="2"/>
  <c r="BO94" i="2"/>
  <c r="CD94" i="2"/>
  <c r="CF94" i="2" s="1"/>
  <c r="CU94" i="2"/>
  <c r="G95" i="2"/>
  <c r="N95" i="2"/>
  <c r="X95" i="2"/>
  <c r="AE95" i="2"/>
  <c r="AO95" i="2"/>
  <c r="AV95" i="2"/>
  <c r="BM95" i="2"/>
  <c r="BO95" i="2" s="1"/>
  <c r="CD95" i="2"/>
  <c r="CU95" i="2"/>
  <c r="G96" i="2"/>
  <c r="N96" i="2"/>
  <c r="X96" i="2"/>
  <c r="AE96" i="2"/>
  <c r="AO96" i="2"/>
  <c r="AV96" i="2"/>
  <c r="BM96" i="2"/>
  <c r="BO96" i="2" s="1"/>
  <c r="CQ96" i="2" s="1"/>
  <c r="CD96" i="2"/>
  <c r="CF96" i="2" s="1"/>
  <c r="CU96" i="2"/>
  <c r="G97" i="2"/>
  <c r="X97" i="2"/>
  <c r="AO97" i="2"/>
  <c r="BO97" i="2"/>
  <c r="CF97" i="2"/>
  <c r="G98" i="2"/>
  <c r="K98" i="2"/>
  <c r="X98" i="2"/>
  <c r="AO98" i="2"/>
  <c r="AQ98" i="2"/>
  <c r="BO98" i="2"/>
  <c r="CF98" i="2"/>
  <c r="CQ98" i="2"/>
  <c r="F100" i="2"/>
  <c r="G100" i="2"/>
  <c r="N100" i="2"/>
  <c r="X100" i="2"/>
  <c r="Z100" i="2"/>
  <c r="AE100" i="2" s="1"/>
  <c r="AB100" i="2"/>
  <c r="AD100" i="2"/>
  <c r="AO100" i="2"/>
  <c r="AV100" i="2"/>
  <c r="BM100" i="2"/>
  <c r="BO100" i="2" s="1"/>
  <c r="BP100" i="2"/>
  <c r="BV100" i="2" s="1"/>
  <c r="BQ100" i="2"/>
  <c r="BR100" i="2"/>
  <c r="BS100" i="2"/>
  <c r="BT100" i="2"/>
  <c r="BU100" i="2"/>
  <c r="CD100" i="2"/>
  <c r="CG100" i="2"/>
  <c r="CH100" i="2"/>
  <c r="CI100" i="2"/>
  <c r="CJ100" i="2"/>
  <c r="CK100" i="2"/>
  <c r="CL100" i="2"/>
  <c r="F101" i="2"/>
  <c r="G101" i="2"/>
  <c r="K101" i="2"/>
  <c r="L101" i="2"/>
  <c r="M101" i="2"/>
  <c r="X101" i="2"/>
  <c r="AA101" i="2"/>
  <c r="AC101" i="2"/>
  <c r="AE101" i="2"/>
  <c r="AO101" i="2"/>
  <c r="AQ101" i="2"/>
  <c r="AV101" i="2" s="1"/>
  <c r="BM101" i="2"/>
  <c r="BO101" i="2"/>
  <c r="CQ101" i="2" s="1"/>
  <c r="CD101" i="2"/>
  <c r="CF101" i="2"/>
  <c r="F102" i="2"/>
  <c r="G102" i="2" s="1"/>
  <c r="N102" i="2"/>
  <c r="X102" i="2"/>
  <c r="AE102" i="2"/>
  <c r="AO102" i="2"/>
  <c r="AV102" i="2"/>
  <c r="BM102" i="2"/>
  <c r="BO102" i="2" s="1"/>
  <c r="CD102" i="2"/>
  <c r="CF102" i="2"/>
  <c r="CU102" i="2"/>
  <c r="F103" i="2"/>
  <c r="G103" i="2" s="1"/>
  <c r="K103" i="2"/>
  <c r="L103" i="2"/>
  <c r="M103" i="2"/>
  <c r="N103" i="2" s="1"/>
  <c r="X103" i="2"/>
  <c r="Z103" i="2"/>
  <c r="AA103" i="2"/>
  <c r="AB103" i="2"/>
  <c r="AC103" i="2"/>
  <c r="AO103" i="2"/>
  <c r="AQ103" i="2"/>
  <c r="AV103" i="2" s="1"/>
  <c r="BM103" i="2"/>
  <c r="CD103" i="2"/>
  <c r="F104" i="2"/>
  <c r="G104" i="2"/>
  <c r="N104" i="2"/>
  <c r="X104" i="2"/>
  <c r="AD104" i="2"/>
  <c r="CU104" i="2" s="1"/>
  <c r="AE104" i="2"/>
  <c r="AO104" i="2"/>
  <c r="AV104" i="2"/>
  <c r="BM104" i="2"/>
  <c r="BO104" i="2"/>
  <c r="CD104" i="2"/>
  <c r="F105" i="2"/>
  <c r="G105" i="2"/>
  <c r="CF105" i="2" s="1"/>
  <c r="N105" i="2"/>
  <c r="X105" i="2"/>
  <c r="AD105" i="2"/>
  <c r="CU105" i="2" s="1"/>
  <c r="AE105" i="2"/>
  <c r="AO105" i="2"/>
  <c r="AV105" i="2"/>
  <c r="BM105" i="2"/>
  <c r="BO105" i="2"/>
  <c r="CD105" i="2"/>
  <c r="F106" i="2"/>
  <c r="G106" i="2" s="1"/>
  <c r="N106" i="2"/>
  <c r="X106" i="2"/>
  <c r="AE106" i="2"/>
  <c r="AO106" i="2"/>
  <c r="AV106" i="2"/>
  <c r="BM106" i="2"/>
  <c r="CD106" i="2"/>
  <c r="CU106" i="2"/>
  <c r="F107" i="2"/>
  <c r="G107" i="2"/>
  <c r="BO107" i="2" s="1"/>
  <c r="N107" i="2"/>
  <c r="X107" i="2"/>
  <c r="AE107" i="2"/>
  <c r="AO107" i="2"/>
  <c r="AV107" i="2"/>
  <c r="BM107" i="2"/>
  <c r="CD107" i="2"/>
  <c r="CF107" i="2"/>
  <c r="CU107" i="2"/>
  <c r="F108" i="2"/>
  <c r="G108" i="2"/>
  <c r="BO108" i="2" s="1"/>
  <c r="N108" i="2"/>
  <c r="X108" i="2"/>
  <c r="AE108" i="2"/>
  <c r="AO108" i="2"/>
  <c r="AV108" i="2"/>
  <c r="BM108" i="2"/>
  <c r="CD108" i="2"/>
  <c r="CF108" i="2"/>
  <c r="CU108" i="2"/>
  <c r="F109" i="2"/>
  <c r="G109" i="2"/>
  <c r="BO109" i="2" s="1"/>
  <c r="N109" i="2"/>
  <c r="X109" i="2"/>
  <c r="AE109" i="2"/>
  <c r="AO109" i="2"/>
  <c r="AV109" i="2"/>
  <c r="BM109" i="2"/>
  <c r="CD109" i="2"/>
  <c r="CF109" i="2"/>
  <c r="CU109" i="2"/>
  <c r="F110" i="2"/>
  <c r="G110" i="2"/>
  <c r="BO110" i="2" s="1"/>
  <c r="N110" i="2"/>
  <c r="X110" i="2"/>
  <c r="AE110" i="2"/>
  <c r="AO110" i="2"/>
  <c r="AV110" i="2"/>
  <c r="BM110" i="2"/>
  <c r="CD110" i="2"/>
  <c r="CF110" i="2"/>
  <c r="CU110" i="2"/>
  <c r="F111" i="2"/>
  <c r="G111" i="2"/>
  <c r="BO111" i="2" s="1"/>
  <c r="N111" i="2"/>
  <c r="X111" i="2"/>
  <c r="AE111" i="2"/>
  <c r="AO111" i="2"/>
  <c r="AV111" i="2"/>
  <c r="BM111" i="2"/>
  <c r="CD111" i="2"/>
  <c r="CF111" i="2"/>
  <c r="CU111" i="2"/>
  <c r="F112" i="2"/>
  <c r="G112" i="2"/>
  <c r="BO112" i="2" s="1"/>
  <c r="N112" i="2"/>
  <c r="X112" i="2"/>
  <c r="AE112" i="2"/>
  <c r="AO112" i="2"/>
  <c r="AV112" i="2"/>
  <c r="BM112" i="2"/>
  <c r="CD112" i="2"/>
  <c r="CU112" i="2"/>
  <c r="F113" i="2"/>
  <c r="G113" i="2"/>
  <c r="N113" i="2"/>
  <c r="X113" i="2"/>
  <c r="AE113" i="2"/>
  <c r="AO113" i="2"/>
  <c r="AV113" i="2"/>
  <c r="BM113" i="2"/>
  <c r="CD113" i="2"/>
  <c r="CF113" i="2"/>
  <c r="CU113" i="2"/>
  <c r="F114" i="2"/>
  <c r="G114" i="2"/>
  <c r="N114" i="2"/>
  <c r="X114" i="2"/>
  <c r="AE114" i="2"/>
  <c r="AO114" i="2"/>
  <c r="AV114" i="2"/>
  <c r="BM114" i="2"/>
  <c r="CD114" i="2"/>
  <c r="CF114" i="2"/>
  <c r="CU114" i="2"/>
  <c r="G115" i="2"/>
  <c r="N115" i="2"/>
  <c r="X115" i="2"/>
  <c r="AE115" i="2"/>
  <c r="AO115" i="2"/>
  <c r="AV115" i="2"/>
  <c r="BM115" i="2"/>
  <c r="BO115" i="2"/>
  <c r="CD115" i="2"/>
  <c r="CF115" i="2" s="1"/>
  <c r="CU115" i="2"/>
  <c r="G116" i="2"/>
  <c r="BO116" i="2" s="1"/>
  <c r="N116" i="2"/>
  <c r="X116" i="2"/>
  <c r="AE116" i="2"/>
  <c r="AO116" i="2"/>
  <c r="AV116" i="2"/>
  <c r="BM116" i="2"/>
  <c r="CD116" i="2"/>
  <c r="CU116" i="2"/>
  <c r="G117" i="2"/>
  <c r="N117" i="2"/>
  <c r="X117" i="2"/>
  <c r="AE117" i="2"/>
  <c r="AO117" i="2"/>
  <c r="AV117" i="2"/>
  <c r="BM117" i="2"/>
  <c r="BO117" i="2"/>
  <c r="CD117" i="2"/>
  <c r="CU117" i="2"/>
  <c r="G118" i="2"/>
  <c r="X118" i="2"/>
  <c r="AO118" i="2"/>
  <c r="BO118" i="2"/>
  <c r="CF118" i="2"/>
  <c r="CQ118" i="2"/>
  <c r="G119" i="2"/>
  <c r="X119" i="2"/>
  <c r="AO119" i="2"/>
  <c r="BO119" i="2"/>
  <c r="CF119" i="2"/>
  <c r="F121" i="2"/>
  <c r="G121" i="2" s="1"/>
  <c r="BO121" i="2" s="1"/>
  <c r="N121" i="2"/>
  <c r="X121" i="2"/>
  <c r="AB121" i="2"/>
  <c r="CU121" i="2" s="1"/>
  <c r="AO121" i="2"/>
  <c r="AQ121" i="2"/>
  <c r="AV121" i="2"/>
  <c r="BM121" i="2"/>
  <c r="BP121" i="2"/>
  <c r="BQ121" i="2"/>
  <c r="BR121" i="2"/>
  <c r="BS121" i="2"/>
  <c r="BT121" i="2"/>
  <c r="BU121" i="2"/>
  <c r="CD121" i="2"/>
  <c r="CG121" i="2"/>
  <c r="CH121" i="2"/>
  <c r="CI121" i="2"/>
  <c r="CJ121" i="2"/>
  <c r="CK121" i="2"/>
  <c r="CL121" i="2"/>
  <c r="F122" i="2"/>
  <c r="G122" i="2" s="1"/>
  <c r="N122" i="2"/>
  <c r="X122" i="2"/>
  <c r="AC122" i="2"/>
  <c r="AO122" i="2"/>
  <c r="AV122" i="2"/>
  <c r="BM122" i="2"/>
  <c r="CD122" i="2"/>
  <c r="CF122" i="2"/>
  <c r="F123" i="2"/>
  <c r="G123" i="2"/>
  <c r="BO123" i="2" s="1"/>
  <c r="N123" i="2"/>
  <c r="X123" i="2"/>
  <c r="AE123" i="2"/>
  <c r="AO123" i="2"/>
  <c r="AO129" i="2" s="1"/>
  <c r="AV123" i="2"/>
  <c r="BM123" i="2"/>
  <c r="CD123" i="2"/>
  <c r="CU123" i="2"/>
  <c r="F124" i="2"/>
  <c r="G124" i="2"/>
  <c r="N124" i="2"/>
  <c r="X124" i="2"/>
  <c r="AE124" i="2"/>
  <c r="AO124" i="2"/>
  <c r="AV124" i="2"/>
  <c r="BM124" i="2"/>
  <c r="CD124" i="2"/>
  <c r="CF124" i="2"/>
  <c r="CU124" i="2"/>
  <c r="G125" i="2"/>
  <c r="N125" i="2"/>
  <c r="X125" i="2"/>
  <c r="AE125" i="2"/>
  <c r="AO125" i="2"/>
  <c r="AV125" i="2"/>
  <c r="BM125" i="2"/>
  <c r="BO125" i="2"/>
  <c r="CD125" i="2"/>
  <c r="CF125" i="2" s="1"/>
  <c r="CU125" i="2"/>
  <c r="G126" i="2"/>
  <c r="BO126" i="2" s="1"/>
  <c r="N126" i="2"/>
  <c r="X126" i="2"/>
  <c r="AE126" i="2"/>
  <c r="AO126" i="2"/>
  <c r="AV126" i="2"/>
  <c r="BM126" i="2"/>
  <c r="CD126" i="2"/>
  <c r="CU126" i="2"/>
  <c r="G127" i="2"/>
  <c r="X127" i="2"/>
  <c r="AO127" i="2"/>
  <c r="BO127" i="2"/>
  <c r="CQ127" i="2" s="1"/>
  <c r="CF127" i="2"/>
  <c r="G128" i="2"/>
  <c r="X128" i="2"/>
  <c r="AO128" i="2"/>
  <c r="BO128" i="2"/>
  <c r="CF128" i="2"/>
  <c r="CQ128" i="2" s="1"/>
  <c r="F130" i="2"/>
  <c r="G130" i="2"/>
  <c r="N130" i="2"/>
  <c r="X130" i="2"/>
  <c r="AE130" i="2"/>
  <c r="AO130" i="2"/>
  <c r="AV130" i="2"/>
  <c r="BM130" i="2"/>
  <c r="BP130" i="2"/>
  <c r="BQ130" i="2"/>
  <c r="BR130" i="2"/>
  <c r="BS130" i="2"/>
  <c r="BT130" i="2"/>
  <c r="BU130" i="2"/>
  <c r="CD130" i="2"/>
  <c r="CG130" i="2"/>
  <c r="CH130" i="2"/>
  <c r="CI130" i="2"/>
  <c r="CJ130" i="2"/>
  <c r="CK130" i="2"/>
  <c r="CL130" i="2"/>
  <c r="CU130" i="2"/>
  <c r="F131" i="2"/>
  <c r="G131" i="2" s="1"/>
  <c r="CF131" i="2" s="1"/>
  <c r="N131" i="2"/>
  <c r="X131" i="2"/>
  <c r="AE131" i="2"/>
  <c r="AO131" i="2"/>
  <c r="AV131" i="2"/>
  <c r="BM131" i="2"/>
  <c r="CD131" i="2"/>
  <c r="CU131" i="2"/>
  <c r="F132" i="2"/>
  <c r="G132" i="2"/>
  <c r="N132" i="2"/>
  <c r="X132" i="2"/>
  <c r="AE132" i="2"/>
  <c r="AO132" i="2"/>
  <c r="AV132" i="2"/>
  <c r="BM132" i="2"/>
  <c r="CD132" i="2"/>
  <c r="CU132" i="2"/>
  <c r="F133" i="2"/>
  <c r="G133" i="2"/>
  <c r="CF133" i="2" s="1"/>
  <c r="N133" i="2"/>
  <c r="X133" i="2"/>
  <c r="AE133" i="2"/>
  <c r="AO133" i="2"/>
  <c r="AV133" i="2"/>
  <c r="BM133" i="2"/>
  <c r="CD133" i="2"/>
  <c r="CU133" i="2"/>
  <c r="F134" i="2"/>
  <c r="G134" i="2"/>
  <c r="BO134" i="2" s="1"/>
  <c r="N134" i="2"/>
  <c r="X134" i="2"/>
  <c r="AE134" i="2"/>
  <c r="AO134" i="2"/>
  <c r="AV134" i="2"/>
  <c r="BM134" i="2"/>
  <c r="CD134" i="2"/>
  <c r="CF134" i="2"/>
  <c r="CU134" i="2"/>
  <c r="F135" i="2"/>
  <c r="G135" i="2" s="1"/>
  <c r="N135" i="2"/>
  <c r="X135" i="2"/>
  <c r="AE135" i="2"/>
  <c r="AO135" i="2"/>
  <c r="AV135" i="2"/>
  <c r="BM135" i="2"/>
  <c r="CD135" i="2"/>
  <c r="CU135" i="2"/>
  <c r="F136" i="2"/>
  <c r="G136" i="2"/>
  <c r="BO136" i="2" s="1"/>
  <c r="N136" i="2"/>
  <c r="X136" i="2"/>
  <c r="AE136" i="2"/>
  <c r="AO136" i="2"/>
  <c r="AV136" i="2"/>
  <c r="BM136" i="2"/>
  <c r="CD136" i="2"/>
  <c r="CU136" i="2"/>
  <c r="F137" i="2"/>
  <c r="G137" i="2"/>
  <c r="BO137" i="2" s="1"/>
  <c r="N137" i="2"/>
  <c r="X137" i="2"/>
  <c r="AE137" i="2"/>
  <c r="AO137" i="2"/>
  <c r="AV137" i="2"/>
  <c r="BM137" i="2"/>
  <c r="CD137" i="2"/>
  <c r="CF137" i="2"/>
  <c r="CU137" i="2"/>
  <c r="F138" i="2"/>
  <c r="G138" i="2" s="1"/>
  <c r="N138" i="2"/>
  <c r="X138" i="2"/>
  <c r="AE138" i="2"/>
  <c r="AO138" i="2"/>
  <c r="AV138" i="2"/>
  <c r="BM138" i="2"/>
  <c r="CD138" i="2"/>
  <c r="CU138" i="2"/>
  <c r="F139" i="2"/>
  <c r="G139" i="2" s="1"/>
  <c r="CF139" i="2" s="1"/>
  <c r="N139" i="2"/>
  <c r="X139" i="2"/>
  <c r="AE139" i="2"/>
  <c r="AO139" i="2"/>
  <c r="AV139" i="2"/>
  <c r="BM139" i="2"/>
  <c r="CD139" i="2"/>
  <c r="CU139" i="2"/>
  <c r="F140" i="2"/>
  <c r="G140" i="2"/>
  <c r="N140" i="2"/>
  <c r="X140" i="2"/>
  <c r="AE140" i="2"/>
  <c r="AO140" i="2"/>
  <c r="AV140" i="2"/>
  <c r="BM140" i="2"/>
  <c r="CD140" i="2"/>
  <c r="CU140" i="2"/>
  <c r="F141" i="2"/>
  <c r="G141" i="2"/>
  <c r="CF141" i="2" s="1"/>
  <c r="N141" i="2"/>
  <c r="X141" i="2"/>
  <c r="AE141" i="2"/>
  <c r="AO141" i="2"/>
  <c r="AV141" i="2"/>
  <c r="BM141" i="2"/>
  <c r="CD141" i="2"/>
  <c r="CU141" i="2"/>
  <c r="F142" i="2"/>
  <c r="G142" i="2"/>
  <c r="BO142" i="2" s="1"/>
  <c r="N142" i="2"/>
  <c r="X142" i="2"/>
  <c r="AE142" i="2"/>
  <c r="AO142" i="2"/>
  <c r="AV142" i="2"/>
  <c r="BM142" i="2"/>
  <c r="CD142" i="2"/>
  <c r="CF142" i="2"/>
  <c r="CU142" i="2"/>
  <c r="F143" i="2"/>
  <c r="G143" i="2" s="1"/>
  <c r="N143" i="2"/>
  <c r="X143" i="2"/>
  <c r="AE143" i="2"/>
  <c r="AO143" i="2"/>
  <c r="AV143" i="2"/>
  <c r="BM143" i="2"/>
  <c r="CD143" i="2"/>
  <c r="CU143" i="2"/>
  <c r="F144" i="2"/>
  <c r="G144" i="2"/>
  <c r="BO144" i="2" s="1"/>
  <c r="N144" i="2"/>
  <c r="X144" i="2"/>
  <c r="AE144" i="2"/>
  <c r="AO144" i="2"/>
  <c r="AV144" i="2"/>
  <c r="BM144" i="2"/>
  <c r="CD144" i="2"/>
  <c r="CU144" i="2"/>
  <c r="F145" i="2"/>
  <c r="G145" i="2"/>
  <c r="BO145" i="2" s="1"/>
  <c r="N145" i="2"/>
  <c r="X145" i="2"/>
  <c r="AE145" i="2"/>
  <c r="AO145" i="2"/>
  <c r="AV145" i="2"/>
  <c r="BM145" i="2"/>
  <c r="CD145" i="2"/>
  <c r="CF145" i="2"/>
  <c r="CU145" i="2"/>
  <c r="F146" i="2"/>
  <c r="G146" i="2" s="1"/>
  <c r="N146" i="2"/>
  <c r="X146" i="2"/>
  <c r="AE146" i="2"/>
  <c r="AO146" i="2"/>
  <c r="AV146" i="2"/>
  <c r="BM146" i="2"/>
  <c r="CD146" i="2"/>
  <c r="CU146" i="2"/>
  <c r="F147" i="2"/>
  <c r="G147" i="2" s="1"/>
  <c r="CF147" i="2" s="1"/>
  <c r="N147" i="2"/>
  <c r="X147" i="2"/>
  <c r="AE147" i="2"/>
  <c r="AO147" i="2"/>
  <c r="AV147" i="2"/>
  <c r="BM147" i="2"/>
  <c r="CD147" i="2"/>
  <c r="CU147" i="2"/>
  <c r="F148" i="2"/>
  <c r="G148" i="2"/>
  <c r="N148" i="2"/>
  <c r="X148" i="2"/>
  <c r="AE148" i="2"/>
  <c r="AO148" i="2"/>
  <c r="AV148" i="2"/>
  <c r="BM148" i="2"/>
  <c r="CD148" i="2"/>
  <c r="CU148" i="2"/>
  <c r="F149" i="2"/>
  <c r="G149" i="2"/>
  <c r="CF149" i="2" s="1"/>
  <c r="N149" i="2"/>
  <c r="X149" i="2"/>
  <c r="AE149" i="2"/>
  <c r="AO149" i="2"/>
  <c r="AV149" i="2"/>
  <c r="BM149" i="2"/>
  <c r="CD149" i="2"/>
  <c r="CU149" i="2"/>
  <c r="F150" i="2"/>
  <c r="G150" i="2"/>
  <c r="BO150" i="2" s="1"/>
  <c r="N150" i="2"/>
  <c r="X150" i="2"/>
  <c r="AE150" i="2"/>
  <c r="AO150" i="2"/>
  <c r="AV150" i="2"/>
  <c r="BM150" i="2"/>
  <c r="CD150" i="2"/>
  <c r="CF150" i="2"/>
  <c r="CU150" i="2"/>
  <c r="F151" i="2"/>
  <c r="G151" i="2" s="1"/>
  <c r="N151" i="2"/>
  <c r="X151" i="2"/>
  <c r="AE151" i="2"/>
  <c r="AO151" i="2"/>
  <c r="AV151" i="2"/>
  <c r="BM151" i="2"/>
  <c r="CD151" i="2"/>
  <c r="CU151" i="2"/>
  <c r="F152" i="2"/>
  <c r="G152" i="2"/>
  <c r="BO152" i="2" s="1"/>
  <c r="N152" i="2"/>
  <c r="X152" i="2"/>
  <c r="AE152" i="2"/>
  <c r="AO152" i="2"/>
  <c r="AV152" i="2"/>
  <c r="BM152" i="2"/>
  <c r="CD152" i="2"/>
  <c r="CU152" i="2"/>
  <c r="G153" i="2"/>
  <c r="N153" i="2"/>
  <c r="X153" i="2"/>
  <c r="AE153" i="2"/>
  <c r="AO153" i="2"/>
  <c r="AV153" i="2"/>
  <c r="BM153" i="2"/>
  <c r="BO153" i="2" s="1"/>
  <c r="CD153" i="2"/>
  <c r="CU153" i="2"/>
  <c r="G154" i="2"/>
  <c r="N154" i="2"/>
  <c r="X154" i="2"/>
  <c r="AE154" i="2"/>
  <c r="AO154" i="2"/>
  <c r="AV154" i="2"/>
  <c r="BM154" i="2"/>
  <c r="CD154" i="2"/>
  <c r="CU154" i="2"/>
  <c r="G155" i="2"/>
  <c r="BO155" i="2" s="1"/>
  <c r="N155" i="2"/>
  <c r="X155" i="2"/>
  <c r="AE155" i="2"/>
  <c r="AO155" i="2"/>
  <c r="AV155" i="2"/>
  <c r="BM155" i="2"/>
  <c r="CD155" i="2"/>
  <c r="CU155" i="2"/>
  <c r="G156" i="2"/>
  <c r="X156" i="2"/>
  <c r="AO156" i="2"/>
  <c r="BO156" i="2"/>
  <c r="CF156" i="2"/>
  <c r="CQ156" i="2"/>
  <c r="CU156" i="2"/>
  <c r="G157" i="2"/>
  <c r="X157" i="2"/>
  <c r="AO157" i="2"/>
  <c r="BO157" i="2"/>
  <c r="CF157" i="2"/>
  <c r="CU157" i="2"/>
  <c r="F159" i="2"/>
  <c r="G159" i="2" s="1"/>
  <c r="N159" i="2"/>
  <c r="X159" i="2"/>
  <c r="AE159" i="2"/>
  <c r="AO159" i="2"/>
  <c r="AV159" i="2"/>
  <c r="BM159" i="2"/>
  <c r="BO159" i="2"/>
  <c r="BP159" i="2"/>
  <c r="BQ159" i="2"/>
  <c r="BR159" i="2"/>
  <c r="BS159" i="2"/>
  <c r="BT159" i="2"/>
  <c r="BU159" i="2"/>
  <c r="CD159" i="2"/>
  <c r="CF159" i="2"/>
  <c r="CG159" i="2"/>
  <c r="CH159" i="2"/>
  <c r="CI159" i="2"/>
  <c r="CJ159" i="2"/>
  <c r="CK159" i="2"/>
  <c r="CL159" i="2"/>
  <c r="CU159" i="2"/>
  <c r="F160" i="2"/>
  <c r="G160" i="2" s="1"/>
  <c r="N160" i="2"/>
  <c r="X160" i="2"/>
  <c r="AE160" i="2"/>
  <c r="AO160" i="2"/>
  <c r="AV160" i="2"/>
  <c r="BM160" i="2"/>
  <c r="CD160" i="2"/>
  <c r="CU160" i="2"/>
  <c r="G161" i="2"/>
  <c r="N161" i="2"/>
  <c r="X161" i="2"/>
  <c r="AE161" i="2"/>
  <c r="AO161" i="2"/>
  <c r="AO165" i="2" s="1"/>
  <c r="AV161" i="2"/>
  <c r="BM161" i="2"/>
  <c r="CD161" i="2"/>
  <c r="CU161" i="2"/>
  <c r="G162" i="2"/>
  <c r="BO162" i="2" s="1"/>
  <c r="N162" i="2"/>
  <c r="X162" i="2"/>
  <c r="AE162" i="2"/>
  <c r="AO162" i="2"/>
  <c r="AV162" i="2"/>
  <c r="BM162" i="2"/>
  <c r="CD162" i="2"/>
  <c r="CF162" i="2"/>
  <c r="CU162" i="2"/>
  <c r="G163" i="2"/>
  <c r="X163" i="2"/>
  <c r="AO163" i="2"/>
  <c r="BO163" i="2"/>
  <c r="CQ163" i="2" s="1"/>
  <c r="CF163" i="2"/>
  <c r="G164" i="2"/>
  <c r="X164" i="2"/>
  <c r="AO164" i="2"/>
  <c r="BO164" i="2"/>
  <c r="CF164" i="2"/>
  <c r="CU164" i="2"/>
  <c r="F166" i="2"/>
  <c r="G166" i="2"/>
  <c r="BO166" i="2" s="1"/>
  <c r="N166" i="2"/>
  <c r="X166" i="2"/>
  <c r="AE166" i="2"/>
  <c r="AO166" i="2"/>
  <c r="AV166" i="2"/>
  <c r="BM166" i="2"/>
  <c r="BP166" i="2"/>
  <c r="BQ166" i="2"/>
  <c r="BR166" i="2"/>
  <c r="BS166" i="2"/>
  <c r="BT166" i="2"/>
  <c r="BU166" i="2"/>
  <c r="CD166" i="2"/>
  <c r="CG166" i="2"/>
  <c r="CH166" i="2"/>
  <c r="CI166" i="2"/>
  <c r="CJ166" i="2"/>
  <c r="CK166" i="2"/>
  <c r="CL166" i="2"/>
  <c r="CU166" i="2"/>
  <c r="F167" i="2"/>
  <c r="G167" i="2" s="1"/>
  <c r="N167" i="2"/>
  <c r="X167" i="2"/>
  <c r="AE167" i="2"/>
  <c r="AO167" i="2"/>
  <c r="AV167" i="2"/>
  <c r="BM167" i="2"/>
  <c r="CD167" i="2"/>
  <c r="CU167" i="2"/>
  <c r="F168" i="2"/>
  <c r="G168" i="2" s="1"/>
  <c r="CF168" i="2" s="1"/>
  <c r="N168" i="2"/>
  <c r="X168" i="2"/>
  <c r="AE168" i="2"/>
  <c r="AO168" i="2"/>
  <c r="AV168" i="2"/>
  <c r="BM168" i="2"/>
  <c r="CD168" i="2"/>
  <c r="CU168" i="2"/>
  <c r="F169" i="2"/>
  <c r="G169" i="2" s="1"/>
  <c r="CF169" i="2" s="1"/>
  <c r="N169" i="2"/>
  <c r="X169" i="2"/>
  <c r="AE169" i="2"/>
  <c r="AO169" i="2"/>
  <c r="AV169" i="2"/>
  <c r="BM169" i="2"/>
  <c r="BO169" i="2"/>
  <c r="CD169" i="2"/>
  <c r="CU169" i="2"/>
  <c r="G170" i="2"/>
  <c r="X170" i="2"/>
  <c r="AO170" i="2"/>
  <c r="BO170" i="2"/>
  <c r="CF170" i="2"/>
  <c r="CQ170" i="2"/>
  <c r="CU170" i="2"/>
  <c r="G171" i="2"/>
  <c r="N171" i="2"/>
  <c r="X171" i="2"/>
  <c r="AE171" i="2"/>
  <c r="AO171" i="2"/>
  <c r="AV171" i="2"/>
  <c r="BM171" i="2"/>
  <c r="CD171" i="2"/>
  <c r="CF171" i="2"/>
  <c r="CU171" i="2"/>
  <c r="G172" i="2"/>
  <c r="N172" i="2"/>
  <c r="X172" i="2"/>
  <c r="AE172" i="2"/>
  <c r="AO172" i="2"/>
  <c r="AV172" i="2"/>
  <c r="BM172" i="2"/>
  <c r="BO172" i="2"/>
  <c r="CD172" i="2"/>
  <c r="CF172" i="2"/>
  <c r="CU172" i="2"/>
  <c r="G173" i="2"/>
  <c r="X173" i="2"/>
  <c r="AO173" i="2"/>
  <c r="BO173" i="2"/>
  <c r="CF173" i="2"/>
  <c r="CQ173" i="2"/>
  <c r="CU173" i="2"/>
  <c r="G174" i="2"/>
  <c r="X174" i="2"/>
  <c r="AO174" i="2"/>
  <c r="AO175" i="2" s="1"/>
  <c r="BO174" i="2"/>
  <c r="CF174" i="2"/>
  <c r="CU174" i="2"/>
  <c r="X175" i="2"/>
  <c r="F176" i="2"/>
  <c r="G176" i="2" s="1"/>
  <c r="CF176" i="2" s="1"/>
  <c r="N176" i="2"/>
  <c r="X176" i="2"/>
  <c r="AE176" i="2"/>
  <c r="AO176" i="2"/>
  <c r="AV176" i="2"/>
  <c r="BM176" i="2"/>
  <c r="BP176" i="2"/>
  <c r="BQ176" i="2"/>
  <c r="BR176" i="2"/>
  <c r="BS176" i="2"/>
  <c r="BT176" i="2"/>
  <c r="BU176" i="2"/>
  <c r="CD176" i="2"/>
  <c r="CG176" i="2"/>
  <c r="CH176" i="2"/>
  <c r="CI176" i="2"/>
  <c r="CJ176" i="2"/>
  <c r="CK176" i="2"/>
  <c r="CL176" i="2"/>
  <c r="CU176" i="2"/>
  <c r="F177" i="2"/>
  <c r="G177" i="2"/>
  <c r="BO177" i="2" s="1"/>
  <c r="N177" i="2"/>
  <c r="X177" i="2"/>
  <c r="AE177" i="2"/>
  <c r="AO177" i="2"/>
  <c r="AV177" i="2"/>
  <c r="BM177" i="2"/>
  <c r="CD177" i="2"/>
  <c r="CU177" i="2"/>
  <c r="F178" i="2"/>
  <c r="G178" i="2"/>
  <c r="BO178" i="2" s="1"/>
  <c r="N178" i="2"/>
  <c r="X178" i="2"/>
  <c r="AE178" i="2"/>
  <c r="AO178" i="2"/>
  <c r="AV178" i="2"/>
  <c r="BM178" i="2"/>
  <c r="CD178" i="2"/>
  <c r="CF178" i="2" s="1"/>
  <c r="CU178" i="2"/>
  <c r="F179" i="2"/>
  <c r="G179" i="2"/>
  <c r="N179" i="2"/>
  <c r="X179" i="2"/>
  <c r="AE179" i="2"/>
  <c r="AO179" i="2"/>
  <c r="AV179" i="2"/>
  <c r="BM179" i="2"/>
  <c r="CD179" i="2"/>
  <c r="CF179" i="2" s="1"/>
  <c r="CU179" i="2"/>
  <c r="F180" i="2"/>
  <c r="G180" i="2"/>
  <c r="BO180" i="2" s="1"/>
  <c r="N180" i="2"/>
  <c r="X180" i="2"/>
  <c r="AE180" i="2"/>
  <c r="AO180" i="2"/>
  <c r="AV180" i="2"/>
  <c r="BM180" i="2"/>
  <c r="CD180" i="2"/>
  <c r="CF180" i="2" s="1"/>
  <c r="CU180" i="2"/>
  <c r="F181" i="2"/>
  <c r="G181" i="2"/>
  <c r="N181" i="2"/>
  <c r="X181" i="2"/>
  <c r="AE181" i="2"/>
  <c r="AO181" i="2"/>
  <c r="AV181" i="2"/>
  <c r="BM181" i="2"/>
  <c r="CD181" i="2"/>
  <c r="CF181" i="2" s="1"/>
  <c r="CU181" i="2"/>
  <c r="F182" i="2"/>
  <c r="G182" i="2"/>
  <c r="BO182" i="2" s="1"/>
  <c r="N182" i="2"/>
  <c r="X182" i="2"/>
  <c r="AE182" i="2"/>
  <c r="AO182" i="2"/>
  <c r="AV182" i="2"/>
  <c r="BM182" i="2"/>
  <c r="CD182" i="2"/>
  <c r="CF182" i="2" s="1"/>
  <c r="CU182" i="2"/>
  <c r="F183" i="2"/>
  <c r="G183" i="2"/>
  <c r="N183" i="2"/>
  <c r="X183" i="2"/>
  <c r="AE183" i="2"/>
  <c r="AO183" i="2"/>
  <c r="AV183" i="2"/>
  <c r="BM183" i="2"/>
  <c r="CD183" i="2"/>
  <c r="CF183" i="2" s="1"/>
  <c r="CU183" i="2"/>
  <c r="F184" i="2"/>
  <c r="G184" i="2"/>
  <c r="N184" i="2"/>
  <c r="X184" i="2"/>
  <c r="AE184" i="2"/>
  <c r="AO184" i="2"/>
  <c r="AV184" i="2"/>
  <c r="BM184" i="2"/>
  <c r="CD184" i="2"/>
  <c r="CF184" i="2" s="1"/>
  <c r="CU184" i="2"/>
  <c r="F185" i="2"/>
  <c r="G185" i="2"/>
  <c r="N185" i="2"/>
  <c r="X185" i="2"/>
  <c r="AE185" i="2"/>
  <c r="AO185" i="2"/>
  <c r="AV185" i="2"/>
  <c r="BM185" i="2"/>
  <c r="CD185" i="2"/>
  <c r="CF185" i="2"/>
  <c r="CU185" i="2"/>
  <c r="F186" i="2"/>
  <c r="G186" i="2"/>
  <c r="CF186" i="2" s="1"/>
  <c r="N186" i="2"/>
  <c r="X186" i="2"/>
  <c r="AE186" i="2"/>
  <c r="AO186" i="2"/>
  <c r="AV186" i="2"/>
  <c r="BM186" i="2"/>
  <c r="CD186" i="2"/>
  <c r="CU186" i="2"/>
  <c r="G187" i="2"/>
  <c r="N187" i="2"/>
  <c r="X187" i="2"/>
  <c r="AE187" i="2"/>
  <c r="AO187" i="2"/>
  <c r="AV187" i="2"/>
  <c r="BM187" i="2"/>
  <c r="BO187" i="2"/>
  <c r="CD187" i="2"/>
  <c r="CF187" i="2" s="1"/>
  <c r="G188" i="2"/>
  <c r="CF188" i="2" s="1"/>
  <c r="N188" i="2"/>
  <c r="X188" i="2"/>
  <c r="AE188" i="2"/>
  <c r="AO188" i="2"/>
  <c r="AV188" i="2"/>
  <c r="BM188" i="2"/>
  <c r="CD188" i="2"/>
  <c r="G189" i="2"/>
  <c r="N189" i="2"/>
  <c r="X189" i="2"/>
  <c r="AE189" i="2"/>
  <c r="AO189" i="2"/>
  <c r="AV189" i="2"/>
  <c r="BM189" i="2"/>
  <c r="BO189" i="2"/>
  <c r="CD189" i="2"/>
  <c r="CF189" i="2"/>
  <c r="CU189" i="2"/>
  <c r="G190" i="2"/>
  <c r="X190" i="2"/>
  <c r="AO190" i="2"/>
  <c r="BO190" i="2"/>
  <c r="CF190" i="2"/>
  <c r="CQ190" i="2"/>
  <c r="G191" i="2"/>
  <c r="M191" i="2"/>
  <c r="X191" i="2"/>
  <c r="AD191" i="2"/>
  <c r="AO191" i="2"/>
  <c r="AQ191" i="2"/>
  <c r="BO191" i="2"/>
  <c r="CF191" i="2"/>
  <c r="F193" i="2"/>
  <c r="G193" i="2"/>
  <c r="N193" i="2"/>
  <c r="X193" i="2"/>
  <c r="AE193" i="2"/>
  <c r="AO193" i="2"/>
  <c r="AV193" i="2"/>
  <c r="BM193" i="2"/>
  <c r="BP193" i="2"/>
  <c r="BQ193" i="2"/>
  <c r="BR193" i="2"/>
  <c r="BS193" i="2"/>
  <c r="BT193" i="2"/>
  <c r="BU193" i="2"/>
  <c r="CD193" i="2"/>
  <c r="CG193" i="2"/>
  <c r="CH193" i="2"/>
  <c r="CI193" i="2"/>
  <c r="CJ193" i="2"/>
  <c r="CK193" i="2"/>
  <c r="CL193" i="2"/>
  <c r="CU193" i="2"/>
  <c r="F194" i="2"/>
  <c r="G194" i="2" s="1"/>
  <c r="N194" i="2"/>
  <c r="X194" i="2"/>
  <c r="AE194" i="2"/>
  <c r="AO194" i="2"/>
  <c r="AV194" i="2"/>
  <c r="BM194" i="2"/>
  <c r="CD194" i="2"/>
  <c r="CU194" i="2"/>
  <c r="G195" i="2"/>
  <c r="N195" i="2"/>
  <c r="X195" i="2"/>
  <c r="AE195" i="2"/>
  <c r="AO195" i="2"/>
  <c r="AV195" i="2"/>
  <c r="BM195" i="2"/>
  <c r="BO195" i="2"/>
  <c r="CD195" i="2"/>
  <c r="CF195" i="2" s="1"/>
  <c r="CU195" i="2"/>
  <c r="G196" i="2"/>
  <c r="N196" i="2"/>
  <c r="X196" i="2"/>
  <c r="AE196" i="2"/>
  <c r="AO196" i="2"/>
  <c r="AV196" i="2"/>
  <c r="BM196" i="2"/>
  <c r="CD196" i="2"/>
  <c r="CU196" i="2"/>
  <c r="G197" i="2"/>
  <c r="X197" i="2"/>
  <c r="AO197" i="2"/>
  <c r="BO197" i="2"/>
  <c r="CF197" i="2"/>
  <c r="CQ197" i="2"/>
  <c r="CU197" i="2"/>
  <c r="G198" i="2"/>
  <c r="X198" i="2"/>
  <c r="AO198" i="2"/>
  <c r="BO198" i="2"/>
  <c r="CF198" i="2"/>
  <c r="CQ198" i="2"/>
  <c r="CU198" i="2"/>
  <c r="X199" i="2"/>
  <c r="F200" i="2"/>
  <c r="G200" i="2"/>
  <c r="N200" i="2"/>
  <c r="X200" i="2"/>
  <c r="AE200" i="2"/>
  <c r="AO200" i="2"/>
  <c r="AV200" i="2"/>
  <c r="BM200" i="2"/>
  <c r="BP200" i="2"/>
  <c r="BQ200" i="2"/>
  <c r="BR200" i="2"/>
  <c r="BS200" i="2"/>
  <c r="BT200" i="2"/>
  <c r="BU200" i="2"/>
  <c r="CD200" i="2"/>
  <c r="CG200" i="2"/>
  <c r="CM200" i="2" s="1"/>
  <c r="CH200" i="2"/>
  <c r="CI200" i="2"/>
  <c r="CJ200" i="2"/>
  <c r="CK200" i="2"/>
  <c r="CL200" i="2"/>
  <c r="CU200" i="2"/>
  <c r="F201" i="2"/>
  <c r="G201" i="2"/>
  <c r="BO201" i="2" s="1"/>
  <c r="N201" i="2"/>
  <c r="X201" i="2"/>
  <c r="AE201" i="2"/>
  <c r="AO201" i="2"/>
  <c r="AV201" i="2"/>
  <c r="BM201" i="2"/>
  <c r="CD201" i="2"/>
  <c r="CU201" i="2"/>
  <c r="F202" i="2"/>
  <c r="G202" i="2" s="1"/>
  <c r="N202" i="2"/>
  <c r="X202" i="2"/>
  <c r="AE202" i="2"/>
  <c r="AO202" i="2"/>
  <c r="AV202" i="2"/>
  <c r="BM202" i="2"/>
  <c r="CD202" i="2"/>
  <c r="CU202" i="2"/>
  <c r="F203" i="2"/>
  <c r="G203" i="2" s="1"/>
  <c r="N203" i="2"/>
  <c r="X203" i="2"/>
  <c r="AE203" i="2"/>
  <c r="AO203" i="2"/>
  <c r="AV203" i="2"/>
  <c r="BM203" i="2"/>
  <c r="CD203" i="2"/>
  <c r="CU203" i="2"/>
  <c r="F204" i="2"/>
  <c r="G204" i="2"/>
  <c r="CF204" i="2" s="1"/>
  <c r="N204" i="2"/>
  <c r="X204" i="2"/>
  <c r="AE204" i="2"/>
  <c r="AO204" i="2"/>
  <c r="AV204" i="2"/>
  <c r="BM204" i="2"/>
  <c r="CD204" i="2"/>
  <c r="CU204" i="2"/>
  <c r="F205" i="2"/>
  <c r="G205" i="2" s="1"/>
  <c r="CF205" i="2" s="1"/>
  <c r="N205" i="2"/>
  <c r="X205" i="2"/>
  <c r="AE205" i="2"/>
  <c r="AO205" i="2"/>
  <c r="AV205" i="2"/>
  <c r="BM205" i="2"/>
  <c r="CD205" i="2"/>
  <c r="CU205" i="2"/>
  <c r="F206" i="2"/>
  <c r="G206" i="2" s="1"/>
  <c r="CF206" i="2" s="1"/>
  <c r="N206" i="2"/>
  <c r="X206" i="2"/>
  <c r="AE206" i="2"/>
  <c r="AO206" i="2"/>
  <c r="AV206" i="2"/>
  <c r="BM206" i="2"/>
  <c r="BO206" i="2"/>
  <c r="CD206" i="2"/>
  <c r="CU206" i="2"/>
  <c r="F207" i="2"/>
  <c r="G207" i="2" s="1"/>
  <c r="CF207" i="2" s="1"/>
  <c r="N207" i="2"/>
  <c r="X207" i="2"/>
  <c r="AE207" i="2"/>
  <c r="AO207" i="2"/>
  <c r="AV207" i="2"/>
  <c r="BM207" i="2"/>
  <c r="CD207" i="2"/>
  <c r="CU207" i="2"/>
  <c r="F208" i="2"/>
  <c r="G208" i="2" s="1"/>
  <c r="CF208" i="2" s="1"/>
  <c r="N208" i="2"/>
  <c r="X208" i="2"/>
  <c r="AE208" i="2"/>
  <c r="AO208" i="2"/>
  <c r="AV208" i="2"/>
  <c r="BM208" i="2"/>
  <c r="BO208" i="2"/>
  <c r="CD208" i="2"/>
  <c r="CU208" i="2"/>
  <c r="G209" i="2"/>
  <c r="X209" i="2"/>
  <c r="AC209" i="2"/>
  <c r="AO209" i="2"/>
  <c r="AV209" i="2"/>
  <c r="BM209" i="2"/>
  <c r="CD209" i="2"/>
  <c r="G210" i="2"/>
  <c r="BO210" i="2" s="1"/>
  <c r="X210" i="2"/>
  <c r="AC210" i="2"/>
  <c r="AO210" i="2"/>
  <c r="AQ210" i="2"/>
  <c r="AV210" i="2"/>
  <c r="BM210" i="2"/>
  <c r="CD210" i="2"/>
  <c r="G211" i="2"/>
  <c r="N211" i="2"/>
  <c r="X211" i="2"/>
  <c r="AE211" i="2"/>
  <c r="AO211" i="2"/>
  <c r="AV211" i="2"/>
  <c r="BM211" i="2"/>
  <c r="BO211" i="2"/>
  <c r="CD211" i="2"/>
  <c r="CF211" i="2"/>
  <c r="CQ211" i="2"/>
  <c r="CU211" i="2"/>
  <c r="G212" i="2"/>
  <c r="K212" i="2"/>
  <c r="X212" i="2"/>
  <c r="AA212" i="2"/>
  <c r="AC212" i="2"/>
  <c r="AO212" i="2"/>
  <c r="AQ212" i="2"/>
  <c r="BO212" i="2"/>
  <c r="CF212" i="2"/>
  <c r="CQ212" i="2"/>
  <c r="G213" i="2"/>
  <c r="X213" i="2"/>
  <c r="AC213" i="2"/>
  <c r="AO213" i="2"/>
  <c r="BO213" i="2"/>
  <c r="CF213" i="2"/>
  <c r="CQ213" i="2"/>
  <c r="F215" i="2"/>
  <c r="G215" i="2"/>
  <c r="CF215" i="2" s="1"/>
  <c r="N215" i="2"/>
  <c r="X215" i="2"/>
  <c r="AE215" i="2"/>
  <c r="AO215" i="2"/>
  <c r="AO224" i="2" s="1"/>
  <c r="AV215" i="2"/>
  <c r="BM215" i="2"/>
  <c r="BP215" i="2"/>
  <c r="BQ215" i="2"/>
  <c r="BR215" i="2"/>
  <c r="BS215" i="2"/>
  <c r="BT215" i="2"/>
  <c r="BU215" i="2"/>
  <c r="CD215" i="2"/>
  <c r="CG215" i="2"/>
  <c r="CH215" i="2"/>
  <c r="CI215" i="2"/>
  <c r="CJ215" i="2"/>
  <c r="CK215" i="2"/>
  <c r="CL215" i="2"/>
  <c r="CU215" i="2"/>
  <c r="F216" i="2"/>
  <c r="G216" i="2" s="1"/>
  <c r="N216" i="2"/>
  <c r="X216" i="2"/>
  <c r="AE216" i="2"/>
  <c r="AO216" i="2"/>
  <c r="AV216" i="2"/>
  <c r="BM216" i="2"/>
  <c r="CD216" i="2"/>
  <c r="CU216" i="2"/>
  <c r="F217" i="2"/>
  <c r="G217" i="2"/>
  <c r="CF217" i="2" s="1"/>
  <c r="N217" i="2"/>
  <c r="X217" i="2"/>
  <c r="AE217" i="2"/>
  <c r="AO217" i="2"/>
  <c r="AV217" i="2"/>
  <c r="BM217" i="2"/>
  <c r="CD217" i="2"/>
  <c r="CU217" i="2"/>
  <c r="F218" i="2"/>
  <c r="G218" i="2"/>
  <c r="CF218" i="2" s="1"/>
  <c r="N218" i="2"/>
  <c r="X218" i="2"/>
  <c r="AE218" i="2"/>
  <c r="AO218" i="2"/>
  <c r="AV218" i="2"/>
  <c r="BM218" i="2"/>
  <c r="CD218" i="2"/>
  <c r="CU218" i="2"/>
  <c r="F219" i="2"/>
  <c r="G219" i="2"/>
  <c r="CF219" i="2" s="1"/>
  <c r="N219" i="2"/>
  <c r="X219" i="2"/>
  <c r="AE219" i="2"/>
  <c r="AO219" i="2"/>
  <c r="AV219" i="2"/>
  <c r="BM219" i="2"/>
  <c r="CD219" i="2"/>
  <c r="CU219" i="2"/>
  <c r="F220" i="2"/>
  <c r="G220" i="2" s="1"/>
  <c r="N220" i="2"/>
  <c r="X220" i="2"/>
  <c r="AE220" i="2"/>
  <c r="AO220" i="2"/>
  <c r="AV220" i="2"/>
  <c r="BM220" i="2"/>
  <c r="CD220" i="2"/>
  <c r="CU220" i="2"/>
  <c r="F221" i="2"/>
  <c r="G221" i="2" s="1"/>
  <c r="N221" i="2"/>
  <c r="X221" i="2"/>
  <c r="AE221" i="2"/>
  <c r="AO221" i="2"/>
  <c r="AV221" i="2"/>
  <c r="BM221" i="2"/>
  <c r="CD221" i="2"/>
  <c r="CU221" i="2"/>
  <c r="G222" i="2"/>
  <c r="X222" i="2"/>
  <c r="X224" i="2" s="1"/>
  <c r="AO222" i="2"/>
  <c r="BO222" i="2"/>
  <c r="CF222" i="2"/>
  <c r="CQ222" i="2"/>
  <c r="G223" i="2"/>
  <c r="X223" i="2"/>
  <c r="AO223" i="2"/>
  <c r="BO223" i="2"/>
  <c r="CF223" i="2"/>
  <c r="CQ223" i="2"/>
  <c r="CU223" i="2"/>
  <c r="F225" i="2"/>
  <c r="G225" i="2" s="1"/>
  <c r="BO225" i="2" s="1"/>
  <c r="N225" i="2"/>
  <c r="X225" i="2"/>
  <c r="AE225" i="2"/>
  <c r="AO225" i="2"/>
  <c r="AV225" i="2"/>
  <c r="BM225" i="2"/>
  <c r="BP225" i="2"/>
  <c r="BQ225" i="2"/>
  <c r="BR225" i="2"/>
  <c r="BS225" i="2"/>
  <c r="BT225" i="2"/>
  <c r="BU225" i="2"/>
  <c r="CD225" i="2"/>
  <c r="CG225" i="2"/>
  <c r="CH225" i="2"/>
  <c r="CI225" i="2"/>
  <c r="CJ225" i="2"/>
  <c r="CK225" i="2"/>
  <c r="CL225" i="2"/>
  <c r="CU225" i="2"/>
  <c r="F226" i="2"/>
  <c r="G226" i="2"/>
  <c r="CF226" i="2" s="1"/>
  <c r="N226" i="2"/>
  <c r="X226" i="2"/>
  <c r="AE226" i="2"/>
  <c r="AO226" i="2"/>
  <c r="AV226" i="2"/>
  <c r="BM226" i="2"/>
  <c r="CD226" i="2"/>
  <c r="CU226" i="2"/>
  <c r="F227" i="2"/>
  <c r="G227" i="2"/>
  <c r="CF227" i="2" s="1"/>
  <c r="N227" i="2"/>
  <c r="X227" i="2"/>
  <c r="AE227" i="2"/>
  <c r="AO227" i="2"/>
  <c r="AV227" i="2"/>
  <c r="BM227" i="2"/>
  <c r="CD227" i="2"/>
  <c r="CU227" i="2"/>
  <c r="F228" i="2"/>
  <c r="G228" i="2"/>
  <c r="N228" i="2"/>
  <c r="X228" i="2"/>
  <c r="AE228" i="2"/>
  <c r="AO228" i="2"/>
  <c r="AV228" i="2"/>
  <c r="BM228" i="2"/>
  <c r="CD228" i="2"/>
  <c r="CU228" i="2"/>
  <c r="F229" i="2"/>
  <c r="G229" i="2"/>
  <c r="N229" i="2"/>
  <c r="X229" i="2"/>
  <c r="AE229" i="2"/>
  <c r="AO229" i="2"/>
  <c r="AV229" i="2"/>
  <c r="BM229" i="2"/>
  <c r="CD229" i="2"/>
  <c r="CU229" i="2"/>
  <c r="F230" i="2"/>
  <c r="G230" i="2"/>
  <c r="N230" i="2"/>
  <c r="X230" i="2"/>
  <c r="AE230" i="2"/>
  <c r="AO230" i="2"/>
  <c r="AO261" i="2" s="1"/>
  <c r="AV230" i="2"/>
  <c r="BM230" i="2"/>
  <c r="CD230" i="2"/>
  <c r="CU230" i="2"/>
  <c r="F231" i="2"/>
  <c r="G231" i="2"/>
  <c r="N231" i="2"/>
  <c r="X231" i="2"/>
  <c r="AE231" i="2"/>
  <c r="AO231" i="2"/>
  <c r="AV231" i="2"/>
  <c r="BM231" i="2"/>
  <c r="CD231" i="2"/>
  <c r="CU231" i="2"/>
  <c r="F232" i="2"/>
  <c r="G232" i="2"/>
  <c r="N232" i="2"/>
  <c r="X232" i="2"/>
  <c r="AE232" i="2"/>
  <c r="AO232" i="2"/>
  <c r="AV232" i="2"/>
  <c r="BM232" i="2"/>
  <c r="CD232" i="2"/>
  <c r="CU232" i="2"/>
  <c r="F233" i="2"/>
  <c r="G233" i="2"/>
  <c r="N233" i="2"/>
  <c r="X233" i="2"/>
  <c r="AE233" i="2"/>
  <c r="AO233" i="2"/>
  <c r="AV233" i="2"/>
  <c r="BM233" i="2"/>
  <c r="CD233" i="2"/>
  <c r="CU233" i="2"/>
  <c r="F234" i="2"/>
  <c r="G234" i="2"/>
  <c r="N234" i="2"/>
  <c r="X234" i="2"/>
  <c r="AE234" i="2"/>
  <c r="AO234" i="2"/>
  <c r="AV234" i="2"/>
  <c r="BM234" i="2"/>
  <c r="CD234" i="2"/>
  <c r="CU234" i="2"/>
  <c r="F235" i="2"/>
  <c r="G235" i="2"/>
  <c r="N235" i="2"/>
  <c r="X235" i="2"/>
  <c r="AE235" i="2"/>
  <c r="AO235" i="2"/>
  <c r="AV235" i="2"/>
  <c r="BM235" i="2"/>
  <c r="CD235" i="2"/>
  <c r="CU235" i="2"/>
  <c r="G236" i="2"/>
  <c r="N236" i="2"/>
  <c r="X236" i="2"/>
  <c r="AE236" i="2"/>
  <c r="AO236" i="2"/>
  <c r="AV236" i="2"/>
  <c r="BM236" i="2"/>
  <c r="BO236" i="2"/>
  <c r="CD236" i="2"/>
  <c r="G237" i="2"/>
  <c r="N237" i="2"/>
  <c r="X237" i="2"/>
  <c r="AC237" i="2"/>
  <c r="AE237" i="2" s="1"/>
  <c r="AO237" i="2"/>
  <c r="AV237" i="2"/>
  <c r="BM237" i="2"/>
  <c r="BO237" i="2" s="1"/>
  <c r="CD237" i="2"/>
  <c r="CF237" i="2"/>
  <c r="G238" i="2"/>
  <c r="BO238" i="2" s="1"/>
  <c r="N238" i="2"/>
  <c r="X238" i="2"/>
  <c r="X261" i="2" s="1"/>
  <c r="AE238" i="2"/>
  <c r="AO238" i="2"/>
  <c r="AV238" i="2"/>
  <c r="BM238" i="2"/>
  <c r="CD238" i="2"/>
  <c r="CF238" i="2"/>
  <c r="CU238" i="2"/>
  <c r="G239" i="2"/>
  <c r="X239" i="2"/>
  <c r="AO239" i="2"/>
  <c r="BO239" i="2"/>
  <c r="CF239" i="2"/>
  <c r="G240" i="2"/>
  <c r="X240" i="2"/>
  <c r="AO240" i="2"/>
  <c r="BO240" i="2"/>
  <c r="CF240" i="2"/>
  <c r="CQ240" i="2"/>
  <c r="CU240" i="2"/>
  <c r="F243" i="2"/>
  <c r="G243" i="2"/>
  <c r="CF243" i="2" s="1"/>
  <c r="N243" i="2"/>
  <c r="X243" i="2"/>
  <c r="AE243" i="2"/>
  <c r="AO243" i="2"/>
  <c r="AV243" i="2"/>
  <c r="BM243" i="2"/>
  <c r="CD243" i="2"/>
  <c r="F244" i="2"/>
  <c r="G244" i="2"/>
  <c r="I244" i="2"/>
  <c r="N244" i="2"/>
  <c r="X244" i="2"/>
  <c r="X273" i="2" s="1"/>
  <c r="AE244" i="2"/>
  <c r="AO244" i="2"/>
  <c r="AV244" i="2"/>
  <c r="BM244" i="2"/>
  <c r="BO244" i="2"/>
  <c r="CD244" i="2"/>
  <c r="CF244" i="2" s="1"/>
  <c r="CN244" i="2" s="1"/>
  <c r="F245" i="2"/>
  <c r="G245" i="2" s="1"/>
  <c r="I245" i="2"/>
  <c r="N245" i="2" s="1"/>
  <c r="X245" i="2"/>
  <c r="AE245" i="2"/>
  <c r="AO245" i="2"/>
  <c r="AV245" i="2"/>
  <c r="BM245" i="2"/>
  <c r="CD245" i="2"/>
  <c r="F246" i="2"/>
  <c r="G246" i="2" s="1"/>
  <c r="I246" i="2"/>
  <c r="N246" i="2"/>
  <c r="X246" i="2"/>
  <c r="AE246" i="2"/>
  <c r="AO246" i="2"/>
  <c r="AV246" i="2"/>
  <c r="BM246" i="2"/>
  <c r="CD246" i="2"/>
  <c r="X247" i="2"/>
  <c r="AO247" i="2"/>
  <c r="BO247" i="2"/>
  <c r="BW247" i="2" s="1"/>
  <c r="CS247" i="2" s="1"/>
  <c r="CF247" i="2"/>
  <c r="CN247" i="2" s="1"/>
  <c r="I248" i="2"/>
  <c r="X248" i="2"/>
  <c r="AO248" i="2"/>
  <c r="BO248" i="2"/>
  <c r="BW248" i="2" s="1"/>
  <c r="CS248" i="2" s="1"/>
  <c r="CF248" i="2"/>
  <c r="CN248" i="2"/>
  <c r="CQ248" i="2"/>
  <c r="I249" i="2"/>
  <c r="X249" i="2"/>
  <c r="AO249" i="2"/>
  <c r="BO249" i="2"/>
  <c r="BW249" i="2" s="1"/>
  <c r="CF249" i="2"/>
  <c r="CN249" i="2" s="1"/>
  <c r="CS249" i="2" s="1"/>
  <c r="CQ249" i="2"/>
  <c r="G250" i="2"/>
  <c r="G251" i="2"/>
  <c r="G252" i="2"/>
  <c r="G253" i="2"/>
  <c r="X254" i="2"/>
  <c r="AO254" i="2"/>
  <c r="BO254" i="2"/>
  <c r="CQ254" i="2" s="1"/>
  <c r="BW254" i="2"/>
  <c r="CF254" i="2"/>
  <c r="CN254" i="2"/>
  <c r="CS254" i="2" s="1"/>
  <c r="I255" i="2"/>
  <c r="X255" i="2"/>
  <c r="AO255" i="2"/>
  <c r="BO255" i="2"/>
  <c r="BW255" i="2"/>
  <c r="CF255" i="2"/>
  <c r="CN255" i="2" s="1"/>
  <c r="CQ255" i="2"/>
  <c r="CS255" i="2"/>
  <c r="DF255" i="2"/>
  <c r="G256" i="2"/>
  <c r="DF256" i="2"/>
  <c r="P259" i="2"/>
  <c r="X259" i="2"/>
  <c r="AO259" i="2"/>
  <c r="AO260" i="2"/>
  <c r="P261" i="2"/>
  <c r="P262" i="2"/>
  <c r="X262" i="2"/>
  <c r="AO262" i="2"/>
  <c r="P263" i="2"/>
  <c r="X263" i="2"/>
  <c r="AO263" i="2"/>
  <c r="P264" i="2"/>
  <c r="X264" i="2"/>
  <c r="AO264" i="2"/>
  <c r="P265" i="2"/>
  <c r="X265" i="2"/>
  <c r="AO265" i="2"/>
  <c r="P266" i="2"/>
  <c r="X266" i="2"/>
  <c r="AO266" i="2"/>
  <c r="P267" i="2"/>
  <c r="X267" i="2"/>
  <c r="AO267" i="2"/>
  <c r="P268" i="2"/>
  <c r="AO268" i="2"/>
  <c r="P269" i="2"/>
  <c r="P270" i="2"/>
  <c r="X270" i="2"/>
  <c r="AO270" i="2"/>
  <c r="P272" i="2"/>
  <c r="P273" i="2"/>
  <c r="AO273" i="2"/>
  <c r="P274" i="2"/>
  <c r="P275" i="2"/>
  <c r="P276" i="2"/>
  <c r="P279" i="2"/>
  <c r="X279" i="2"/>
  <c r="AO279" i="2"/>
  <c r="AO280" i="2"/>
  <c r="P281" i="2"/>
  <c r="X281" i="2"/>
  <c r="AO281" i="2"/>
  <c r="P282" i="2"/>
  <c r="X282" i="2"/>
  <c r="AO282" i="2"/>
  <c r="P283" i="2"/>
  <c r="X283" i="2"/>
  <c r="AO283" i="2"/>
  <c r="P284" i="2"/>
  <c r="X284" i="2"/>
  <c r="P285" i="2"/>
  <c r="P287" i="2"/>
  <c r="X287" i="2" s="1"/>
  <c r="X288" i="2" s="1"/>
  <c r="AO287" i="2"/>
  <c r="BO287" i="2"/>
  <c r="BW287" i="2" s="1"/>
  <c r="BW288" i="2" s="1"/>
  <c r="CF287" i="2"/>
  <c r="CN287" i="2" s="1"/>
  <c r="CN288" i="2" s="1"/>
  <c r="AO288" i="2"/>
  <c r="AU376" i="2"/>
  <c r="AV376" i="2"/>
  <c r="AX376" i="2"/>
  <c r="BF376" i="2"/>
  <c r="CQ376" i="2"/>
  <c r="BO168" i="2" l="1"/>
  <c r="CF166" i="2"/>
  <c r="BO80" i="2"/>
  <c r="CF71" i="2"/>
  <c r="CF68" i="2"/>
  <c r="BO45" i="2"/>
  <c r="P26" i="2"/>
  <c r="BW26" i="2"/>
  <c r="BO10" i="2"/>
  <c r="BO14" i="2"/>
  <c r="CF112" i="2"/>
  <c r="BO147" i="2"/>
  <c r="BO139" i="2"/>
  <c r="BO131" i="2"/>
  <c r="BO67" i="2"/>
  <c r="BW67" i="2" s="1"/>
  <c r="CS67" i="2" s="1"/>
  <c r="CF43" i="2"/>
  <c r="BO13" i="2"/>
  <c r="CQ43" i="2"/>
  <c r="BO17" i="2"/>
  <c r="BO8" i="2"/>
  <c r="CF177" i="2"/>
  <c r="CF104" i="2"/>
  <c r="CF100" i="2"/>
  <c r="CQ100" i="2" s="1"/>
  <c r="BO76" i="2"/>
  <c r="BO43" i="2"/>
  <c r="BO281" i="2" s="1"/>
  <c r="BO12" i="2"/>
  <c r="CQ47" i="2"/>
  <c r="CQ159" i="2"/>
  <c r="BO81" i="2"/>
  <c r="CF69" i="2"/>
  <c r="CF58" i="2"/>
  <c r="BW104" i="2"/>
  <c r="CS104" i="2" s="1"/>
  <c r="BW108" i="2"/>
  <c r="BW110" i="2"/>
  <c r="CS110" i="2" s="1"/>
  <c r="BW118" i="2"/>
  <c r="CS118" i="2" s="1"/>
  <c r="BW107" i="2"/>
  <c r="BW109" i="2"/>
  <c r="BW111" i="2"/>
  <c r="BV225" i="2"/>
  <c r="BW240" i="2" s="1"/>
  <c r="CS240" i="2" s="1"/>
  <c r="CS212" i="2"/>
  <c r="CN98" i="2"/>
  <c r="CN89" i="2"/>
  <c r="BV215" i="2"/>
  <c r="BW116" i="2"/>
  <c r="BW98" i="2"/>
  <c r="CS98" i="2" s="1"/>
  <c r="CN94" i="2"/>
  <c r="CN88" i="2"/>
  <c r="CN81" i="2"/>
  <c r="CN73" i="2"/>
  <c r="CN43" i="2"/>
  <c r="CN208" i="2"/>
  <c r="CM166" i="2"/>
  <c r="CN172" i="2" s="1"/>
  <c r="BW94" i="2"/>
  <c r="CS94" i="2" s="1"/>
  <c r="BV58" i="2"/>
  <c r="BW63" i="2" s="1"/>
  <c r="CN51" i="2"/>
  <c r="CM7" i="2"/>
  <c r="BV200" i="2"/>
  <c r="BW212" i="2" s="1"/>
  <c r="BV193" i="2"/>
  <c r="CM121" i="2"/>
  <c r="CN93" i="2"/>
  <c r="CM58" i="2"/>
  <c r="CN92" i="2"/>
  <c r="CN71" i="2"/>
  <c r="CN68" i="2"/>
  <c r="BW58" i="2"/>
  <c r="CN47" i="2"/>
  <c r="CN212" i="2"/>
  <c r="CM193" i="2"/>
  <c r="CN168" i="2"/>
  <c r="BV166" i="2"/>
  <c r="BV130" i="2"/>
  <c r="CN84" i="2"/>
  <c r="BW71" i="2"/>
  <c r="CS71" i="2" s="1"/>
  <c r="CN67" i="2"/>
  <c r="CN205" i="2"/>
  <c r="CN197" i="2"/>
  <c r="BV176" i="2"/>
  <c r="BW190" i="2" s="1"/>
  <c r="CM130" i="2"/>
  <c r="CN156" i="2" s="1"/>
  <c r="CN96" i="2"/>
  <c r="CN36" i="2"/>
  <c r="BW213" i="2"/>
  <c r="CS213" i="2" s="1"/>
  <c r="BW191" i="2"/>
  <c r="CS191" i="2" s="1"/>
  <c r="CQ237" i="2"/>
  <c r="BW237" i="2"/>
  <c r="CS237" i="2" s="1"/>
  <c r="BO246" i="2"/>
  <c r="CF246" i="2"/>
  <c r="CN246" i="2" s="1"/>
  <c r="BO245" i="2"/>
  <c r="CF245" i="2"/>
  <c r="CN245" i="2" s="1"/>
  <c r="CQ244" i="2"/>
  <c r="CQ238" i="2"/>
  <c r="BW238" i="2"/>
  <c r="CN243" i="2"/>
  <c r="CF273" i="2"/>
  <c r="CF221" i="2"/>
  <c r="BO221" i="2"/>
  <c r="CF216" i="2"/>
  <c r="BO216" i="2"/>
  <c r="CF220" i="2"/>
  <c r="BO220" i="2"/>
  <c r="CQ208" i="2"/>
  <c r="BW208" i="2"/>
  <c r="CS208" i="2" s="1"/>
  <c r="BO203" i="2"/>
  <c r="CF203" i="2"/>
  <c r="CN203" i="2" s="1"/>
  <c r="CQ182" i="2"/>
  <c r="P288" i="2"/>
  <c r="AO285" i="2"/>
  <c r="AO269" i="2"/>
  <c r="AO271" i="2" s="1"/>
  <c r="CQ247" i="2"/>
  <c r="BW244" i="2"/>
  <c r="CS244" i="2" s="1"/>
  <c r="BO243" i="2"/>
  <c r="CF236" i="2"/>
  <c r="AO241" i="2"/>
  <c r="BO219" i="2"/>
  <c r="CN211" i="2"/>
  <c r="CN207" i="2"/>
  <c r="CQ178" i="2"/>
  <c r="BW173" i="2"/>
  <c r="CS173" i="2" s="1"/>
  <c r="BW170" i="2"/>
  <c r="CS170" i="2" s="1"/>
  <c r="CF30" i="2"/>
  <c r="CN30" i="2" s="1"/>
  <c r="BO30" i="2"/>
  <c r="CF232" i="2"/>
  <c r="BO232" i="2"/>
  <c r="X285" i="2"/>
  <c r="AO284" i="2"/>
  <c r="X269" i="2"/>
  <c r="CQ239" i="2"/>
  <c r="BW239" i="2"/>
  <c r="CS239" i="2" s="1"/>
  <c r="BW236" i="2"/>
  <c r="CS236" i="2" s="1"/>
  <c r="CF233" i="2"/>
  <c r="BO233" i="2"/>
  <c r="CF229" i="2"/>
  <c r="BO229" i="2"/>
  <c r="BO207" i="2"/>
  <c r="BO202" i="2"/>
  <c r="CF202" i="2"/>
  <c r="CN202" i="2" s="1"/>
  <c r="AO199" i="2"/>
  <c r="CF167" i="2"/>
  <c r="BO167" i="2"/>
  <c r="CF228" i="2"/>
  <c r="BO228" i="2"/>
  <c r="CQ287" i="2"/>
  <c r="BO217" i="2"/>
  <c r="CN206" i="2"/>
  <c r="BO200" i="2"/>
  <c r="CF200" i="2"/>
  <c r="CS238" i="2"/>
  <c r="CF288" i="2"/>
  <c r="CF234" i="2"/>
  <c r="BO234" i="2"/>
  <c r="CF230" i="2"/>
  <c r="BO230" i="2"/>
  <c r="CF210" i="2"/>
  <c r="CN210" i="2" s="1"/>
  <c r="CQ206" i="2"/>
  <c r="BW201" i="2"/>
  <c r="CS201" i="2" s="1"/>
  <c r="CQ201" i="2"/>
  <c r="BO196" i="2"/>
  <c r="CF196" i="2"/>
  <c r="CS190" i="2"/>
  <c r="X165" i="2"/>
  <c r="X268" i="2"/>
  <c r="CQ210" i="2"/>
  <c r="BO209" i="2"/>
  <c r="CF209" i="2"/>
  <c r="CN209" i="2" s="1"/>
  <c r="BW197" i="2"/>
  <c r="CS197" i="2" s="1"/>
  <c r="BW198" i="2"/>
  <c r="CS198" i="2" s="1"/>
  <c r="BO193" i="2"/>
  <c r="CF193" i="2"/>
  <c r="CQ180" i="2"/>
  <c r="BO143" i="2"/>
  <c r="CF143" i="2"/>
  <c r="CN143" i="2" s="1"/>
  <c r="BW136" i="2"/>
  <c r="CS136" i="2" s="1"/>
  <c r="BW225" i="2"/>
  <c r="BW241" i="2" s="1"/>
  <c r="BO288" i="2"/>
  <c r="X241" i="2"/>
  <c r="CF235" i="2"/>
  <c r="BO235" i="2"/>
  <c r="CF231" i="2"/>
  <c r="BO231" i="2"/>
  <c r="CM225" i="2"/>
  <c r="CN237" i="2" s="1"/>
  <c r="BO218" i="2"/>
  <c r="CN213" i="2"/>
  <c r="BW210" i="2"/>
  <c r="CS210" i="2" s="1"/>
  <c r="BO205" i="2"/>
  <c r="CN204" i="2"/>
  <c r="X214" i="2"/>
  <c r="AO214" i="2"/>
  <c r="CN195" i="2"/>
  <c r="BW147" i="2"/>
  <c r="CS147" i="2" s="1"/>
  <c r="CQ147" i="2"/>
  <c r="BO146" i="2"/>
  <c r="CF146" i="2"/>
  <c r="CN146" i="2" s="1"/>
  <c r="CQ225" i="2"/>
  <c r="CF225" i="2"/>
  <c r="BW223" i="2"/>
  <c r="CS223" i="2" s="1"/>
  <c r="BW222" i="2"/>
  <c r="CS222" i="2" s="1"/>
  <c r="CM215" i="2"/>
  <c r="CN217" i="2" s="1"/>
  <c r="CQ195" i="2"/>
  <c r="BW195" i="2"/>
  <c r="CS195" i="2" s="1"/>
  <c r="BO194" i="2"/>
  <c r="CF194" i="2"/>
  <c r="CN194" i="2" s="1"/>
  <c r="BO227" i="2"/>
  <c r="BO226" i="2"/>
  <c r="BO215" i="2"/>
  <c r="BO204" i="2"/>
  <c r="AO192" i="2"/>
  <c r="BO188" i="2"/>
  <c r="BO184" i="2"/>
  <c r="BW178" i="2"/>
  <c r="CS178" i="2" s="1"/>
  <c r="CQ166" i="2"/>
  <c r="BW166" i="2"/>
  <c r="CF154" i="2"/>
  <c r="CN154" i="2" s="1"/>
  <c r="CQ150" i="2"/>
  <c r="BW150" i="2"/>
  <c r="CS150" i="2" s="1"/>
  <c r="CF140" i="2"/>
  <c r="CN140" i="2" s="1"/>
  <c r="BO140" i="2"/>
  <c r="AE122" i="2"/>
  <c r="CU122" i="2"/>
  <c r="CS108" i="2"/>
  <c r="X120" i="2"/>
  <c r="CF25" i="2"/>
  <c r="BO25" i="2"/>
  <c r="CF201" i="2"/>
  <c r="CN201" i="2" s="1"/>
  <c r="CQ191" i="2"/>
  <c r="CN169" i="2"/>
  <c r="BW189" i="2"/>
  <c r="CS189" i="2" s="1"/>
  <c r="CQ189" i="2"/>
  <c r="CS172" i="2"/>
  <c r="CN170" i="2"/>
  <c r="CQ162" i="2"/>
  <c r="BW153" i="2"/>
  <c r="CS153" i="2" s="1"/>
  <c r="BW152" i="2"/>
  <c r="CS152" i="2" s="1"/>
  <c r="BW145" i="2"/>
  <c r="CS145" i="2" s="1"/>
  <c r="CQ145" i="2"/>
  <c r="CQ142" i="2"/>
  <c r="BW142" i="2"/>
  <c r="CS142" i="2" s="1"/>
  <c r="CF132" i="2"/>
  <c r="CN132" i="2" s="1"/>
  <c r="BO132" i="2"/>
  <c r="BW119" i="2"/>
  <c r="CQ119" i="2"/>
  <c r="BW115" i="2"/>
  <c r="CS115" i="2" s="1"/>
  <c r="CQ115" i="2"/>
  <c r="CF85" i="2"/>
  <c r="CN85" i="2" s="1"/>
  <c r="BO85" i="2"/>
  <c r="BW59" i="2"/>
  <c r="CQ59" i="2"/>
  <c r="BO65" i="2"/>
  <c r="CQ187" i="2"/>
  <c r="BW187" i="2"/>
  <c r="CS187" i="2" s="1"/>
  <c r="CN185" i="2"/>
  <c r="BO185" i="2"/>
  <c r="BO183" i="2"/>
  <c r="BO181" i="2"/>
  <c r="BO179" i="2"/>
  <c r="X192" i="2"/>
  <c r="CQ169" i="2"/>
  <c r="BW169" i="2"/>
  <c r="CS169" i="2" s="1"/>
  <c r="BV159" i="2"/>
  <c r="BW139" i="2"/>
  <c r="CS139" i="2" s="1"/>
  <c r="CQ139" i="2"/>
  <c r="BO138" i="2"/>
  <c r="CF138" i="2"/>
  <c r="CN138" i="2" s="1"/>
  <c r="BO135" i="2"/>
  <c r="CF135" i="2"/>
  <c r="CN135" i="2" s="1"/>
  <c r="X158" i="2"/>
  <c r="BW77" i="2"/>
  <c r="CS77" i="2" s="1"/>
  <c r="CN198" i="2"/>
  <c r="CN183" i="2"/>
  <c r="CN179" i="2"/>
  <c r="CN177" i="2"/>
  <c r="BW174" i="2"/>
  <c r="CF161" i="2"/>
  <c r="BO161" i="2"/>
  <c r="CF148" i="2"/>
  <c r="CN148" i="2" s="1"/>
  <c r="BO148" i="2"/>
  <c r="CN141" i="2"/>
  <c r="CF90" i="2"/>
  <c r="CN90" i="2" s="1"/>
  <c r="BO90" i="2"/>
  <c r="CM176" i="2"/>
  <c r="CN188" i="2" s="1"/>
  <c r="CN176" i="2"/>
  <c r="CF192" i="2"/>
  <c r="CQ172" i="2"/>
  <c r="BW172" i="2"/>
  <c r="CS166" i="2"/>
  <c r="CS175" i="2" s="1"/>
  <c r="CF160" i="2"/>
  <c r="CF165" i="2" s="1"/>
  <c r="BO160" i="2"/>
  <c r="BO151" i="2"/>
  <c r="CF151" i="2"/>
  <c r="CN151" i="2" s="1"/>
  <c r="BW144" i="2"/>
  <c r="CS144" i="2" s="1"/>
  <c r="BW137" i="2"/>
  <c r="CS137" i="2" s="1"/>
  <c r="CQ137" i="2"/>
  <c r="CN134" i="2"/>
  <c r="CQ134" i="2"/>
  <c r="BW134" i="2"/>
  <c r="CS134" i="2" s="1"/>
  <c r="CN131" i="2"/>
  <c r="CN186" i="2"/>
  <c r="BO186" i="2"/>
  <c r="BO176" i="2"/>
  <c r="CS174" i="2"/>
  <c r="BO171" i="2"/>
  <c r="CQ168" i="2"/>
  <c r="BW168" i="2"/>
  <c r="CS168" i="2" s="1"/>
  <c r="BW164" i="2"/>
  <c r="CS164" i="2" s="1"/>
  <c r="CQ164" i="2"/>
  <c r="BW155" i="2"/>
  <c r="CS155" i="2" s="1"/>
  <c r="BW131" i="2"/>
  <c r="CS131" i="2" s="1"/>
  <c r="CQ131" i="2"/>
  <c r="CF117" i="2"/>
  <c r="BW102" i="2"/>
  <c r="CS102" i="2" s="1"/>
  <c r="CQ102" i="2"/>
  <c r="CF74" i="2"/>
  <c r="CN74" i="2" s="1"/>
  <c r="BO74" i="2"/>
  <c r="CM159" i="2"/>
  <c r="CN163" i="2" s="1"/>
  <c r="BO130" i="2"/>
  <c r="CF130" i="2"/>
  <c r="BW117" i="2"/>
  <c r="CS117" i="2" s="1"/>
  <c r="CQ117" i="2"/>
  <c r="CF106" i="2"/>
  <c r="BW80" i="2"/>
  <c r="CS80" i="2" s="1"/>
  <c r="CQ80" i="2"/>
  <c r="BW79" i="2"/>
  <c r="CS79" i="2" s="1"/>
  <c r="CQ10" i="2"/>
  <c r="CF155" i="2"/>
  <c r="CN155" i="2" s="1"/>
  <c r="BO154" i="2"/>
  <c r="CF152" i="2"/>
  <c r="CN152" i="2" s="1"/>
  <c r="BO149" i="2"/>
  <c r="CF144" i="2"/>
  <c r="CN144" i="2" s="1"/>
  <c r="BO141" i="2"/>
  <c r="CF136" i="2"/>
  <c r="CN136" i="2" s="1"/>
  <c r="BO133" i="2"/>
  <c r="CN128" i="2"/>
  <c r="CS119" i="2"/>
  <c r="CS116" i="2"/>
  <c r="BO114" i="2"/>
  <c r="CQ112" i="2"/>
  <c r="CQ110" i="2"/>
  <c r="CQ108" i="2"/>
  <c r="BO106" i="2"/>
  <c r="BW97" i="2"/>
  <c r="CQ97" i="2"/>
  <c r="BW95" i="2"/>
  <c r="CS95" i="2" s="1"/>
  <c r="BW78" i="2"/>
  <c r="CS78" i="2" s="1"/>
  <c r="CF70" i="2"/>
  <c r="CN66" i="2"/>
  <c r="CQ49" i="2"/>
  <c r="CQ14" i="2"/>
  <c r="CQ9" i="2"/>
  <c r="CN22" i="2"/>
  <c r="CN23" i="2"/>
  <c r="CQ174" i="2"/>
  <c r="CN145" i="2"/>
  <c r="CN137" i="2"/>
  <c r="CF126" i="2"/>
  <c r="CN126" i="2" s="1"/>
  <c r="CF123" i="2"/>
  <c r="CN123" i="2" s="1"/>
  <c r="BO122" i="2"/>
  <c r="BO129" i="2" s="1"/>
  <c r="AE121" i="2"/>
  <c r="CF116" i="2"/>
  <c r="BW112" i="2"/>
  <c r="CS112" i="2" s="1"/>
  <c r="CQ105" i="2"/>
  <c r="BW105" i="2"/>
  <c r="CQ89" i="2"/>
  <c r="BW89" i="2"/>
  <c r="CS89" i="2" s="1"/>
  <c r="BO84" i="2"/>
  <c r="CF83" i="2"/>
  <c r="CN83" i="2" s="1"/>
  <c r="BO83" i="2"/>
  <c r="CF78" i="2"/>
  <c r="CN78" i="2" s="1"/>
  <c r="BO73" i="2"/>
  <c r="BW72" i="2"/>
  <c r="CS72" i="2" s="1"/>
  <c r="CN38" i="2"/>
  <c r="CN39" i="2"/>
  <c r="CQ18" i="2"/>
  <c r="CQ13" i="2"/>
  <c r="CS111" i="2"/>
  <c r="CS109" i="2"/>
  <c r="CS107" i="2"/>
  <c r="CU101" i="2"/>
  <c r="N101" i="2"/>
  <c r="CM100" i="2"/>
  <c r="CN118" i="2" s="1"/>
  <c r="CS97" i="2"/>
  <c r="CF82" i="2"/>
  <c r="CN82" i="2" s="1"/>
  <c r="BO82" i="2"/>
  <c r="CQ17" i="2"/>
  <c r="CQ157" i="2"/>
  <c r="AO158" i="2"/>
  <c r="CF121" i="2"/>
  <c r="CQ121" i="2" s="1"/>
  <c r="BV121" i="2"/>
  <c r="BW128" i="2" s="1"/>
  <c r="CS128" i="2" s="1"/>
  <c r="X129" i="2"/>
  <c r="CQ104" i="2"/>
  <c r="AO120" i="2"/>
  <c r="BW100" i="2"/>
  <c r="CS100" i="2" s="1"/>
  <c r="CS120" i="2" s="1"/>
  <c r="CS96" i="2"/>
  <c r="BO93" i="2"/>
  <c r="BO88" i="2"/>
  <c r="CF87" i="2"/>
  <c r="CN87" i="2" s="1"/>
  <c r="BO87" i="2"/>
  <c r="AE67" i="2"/>
  <c r="AD103" i="2"/>
  <c r="CU103" i="2" s="1"/>
  <c r="CU67" i="2"/>
  <c r="CQ52" i="2"/>
  <c r="BO57" i="2"/>
  <c r="CQ36" i="2"/>
  <c r="CF153" i="2"/>
  <c r="CN153" i="2" s="1"/>
  <c r="BO124" i="2"/>
  <c r="BO113" i="2"/>
  <c r="CQ111" i="2"/>
  <c r="CQ109" i="2"/>
  <c r="CQ107" i="2"/>
  <c r="CF86" i="2"/>
  <c r="CN86" i="2" s="1"/>
  <c r="BO86" i="2"/>
  <c r="CN21" i="2"/>
  <c r="CF20" i="2"/>
  <c r="CN20" i="2" s="1"/>
  <c r="BO20" i="2"/>
  <c r="CQ125" i="2"/>
  <c r="BW92" i="2"/>
  <c r="CS92" i="2" s="1"/>
  <c r="CQ92" i="2"/>
  <c r="CF91" i="2"/>
  <c r="CN91" i="2" s="1"/>
  <c r="BO91" i="2"/>
  <c r="CQ81" i="2"/>
  <c r="BW81" i="2"/>
  <c r="CS81" i="2" s="1"/>
  <c r="BW76" i="2"/>
  <c r="CS76" i="2" s="1"/>
  <c r="CQ76" i="2"/>
  <c r="CF75" i="2"/>
  <c r="CN75" i="2" s="1"/>
  <c r="BO75" i="2"/>
  <c r="X57" i="2"/>
  <c r="X26" i="2"/>
  <c r="BO103" i="2"/>
  <c r="CQ94" i="2"/>
  <c r="AO99" i="2"/>
  <c r="CQ66" i="2"/>
  <c r="BW66" i="2"/>
  <c r="CS66" i="2" s="1"/>
  <c r="CS99" i="2" s="1"/>
  <c r="CS63" i="2"/>
  <c r="BW62" i="2"/>
  <c r="CS62" i="2" s="1"/>
  <c r="CQ62" i="2"/>
  <c r="CN46" i="2"/>
  <c r="CF33" i="2"/>
  <c r="CN33" i="2" s="1"/>
  <c r="BO33" i="2"/>
  <c r="CN17" i="2"/>
  <c r="CN13" i="2"/>
  <c r="CN9" i="2"/>
  <c r="CQ71" i="2"/>
  <c r="BO68" i="2"/>
  <c r="CN61" i="2"/>
  <c r="BW61" i="2"/>
  <c r="CS61" i="2" s="1"/>
  <c r="CS58" i="2"/>
  <c r="CS65" i="2" s="1"/>
  <c r="BW39" i="2"/>
  <c r="CS39" i="2" s="1"/>
  <c r="CQ39" i="2"/>
  <c r="CF35" i="2"/>
  <c r="CN35" i="2" s="1"/>
  <c r="BO35" i="2"/>
  <c r="CF27" i="2"/>
  <c r="CN27" i="2" s="1"/>
  <c r="BO27" i="2"/>
  <c r="CQ22" i="2"/>
  <c r="CN16" i="2"/>
  <c r="CN12" i="2"/>
  <c r="CN8" i="2"/>
  <c r="CF79" i="2"/>
  <c r="CN79" i="2" s="1"/>
  <c r="BO70" i="2"/>
  <c r="CQ56" i="2"/>
  <c r="BW47" i="2"/>
  <c r="CS47" i="2" s="1"/>
  <c r="CF32" i="2"/>
  <c r="CN32" i="2" s="1"/>
  <c r="BO32" i="2"/>
  <c r="CQ16" i="2"/>
  <c r="CQ12" i="2"/>
  <c r="CQ8" i="2"/>
  <c r="CF95" i="2"/>
  <c r="CN95" i="2" s="1"/>
  <c r="CN64" i="2"/>
  <c r="CN63" i="2"/>
  <c r="CQ58" i="2"/>
  <c r="BW54" i="2"/>
  <c r="CS54" i="2" s="1"/>
  <c r="CN50" i="2"/>
  <c r="BV42" i="2"/>
  <c r="BW50" i="2" s="1"/>
  <c r="CS50" i="2" s="1"/>
  <c r="BW42" i="2"/>
  <c r="CS42" i="2" s="1"/>
  <c r="CS57" i="2" s="1"/>
  <c r="BW38" i="2"/>
  <c r="CS38" i="2" s="1"/>
  <c r="CQ38" i="2"/>
  <c r="CF29" i="2"/>
  <c r="CN29" i="2" s="1"/>
  <c r="BO29" i="2"/>
  <c r="CN19" i="2"/>
  <c r="CN15" i="2"/>
  <c r="CN11" i="2"/>
  <c r="BV7" i="2"/>
  <c r="BW23" i="2" s="1"/>
  <c r="BW101" i="2"/>
  <c r="CS101" i="2" s="1"/>
  <c r="CF80" i="2"/>
  <c r="CN80" i="2" s="1"/>
  <c r="CF76" i="2"/>
  <c r="CN76" i="2" s="1"/>
  <c r="CF72" i="2"/>
  <c r="CN72" i="2" s="1"/>
  <c r="CN69" i="2"/>
  <c r="CQ67" i="2"/>
  <c r="X99" i="2"/>
  <c r="BW64" i="2"/>
  <c r="CS64" i="2" s="1"/>
  <c r="CN62" i="2"/>
  <c r="BW60" i="2"/>
  <c r="CS60" i="2" s="1"/>
  <c r="AO65" i="2"/>
  <c r="CQ51" i="2"/>
  <c r="CF34" i="2"/>
  <c r="CN34" i="2" s="1"/>
  <c r="BO34" i="2"/>
  <c r="CQ15" i="2"/>
  <c r="CQ11" i="2"/>
  <c r="CQ64" i="2"/>
  <c r="CN53" i="2"/>
  <c r="CN48" i="2"/>
  <c r="BW48" i="2"/>
  <c r="CS48" i="2" s="1"/>
  <c r="CN45" i="2"/>
  <c r="CF42" i="2"/>
  <c r="G40" i="2"/>
  <c r="CF40" i="2"/>
  <c r="CN40" i="2" s="1"/>
  <c r="BW37" i="2"/>
  <c r="CS37" i="2" s="1"/>
  <c r="CF31" i="2"/>
  <c r="CN31" i="2" s="1"/>
  <c r="BO31" i="2"/>
  <c r="CF26" i="2"/>
  <c r="CN26" i="2" s="1"/>
  <c r="CN18" i="2"/>
  <c r="CN14" i="2"/>
  <c r="CN10" i="2"/>
  <c r="CS105" i="2"/>
  <c r="CF103" i="2"/>
  <c r="CU100" i="2"/>
  <c r="CF77" i="2"/>
  <c r="CN77" i="2" s="1"/>
  <c r="BO69" i="2"/>
  <c r="CS59" i="2"/>
  <c r="BW45" i="2"/>
  <c r="CS45" i="2" s="1"/>
  <c r="CQ45" i="2"/>
  <c r="CF28" i="2"/>
  <c r="CN28" i="2" s="1"/>
  <c r="BO28" i="2"/>
  <c r="CS23" i="2"/>
  <c r="CQ21" i="2"/>
  <c r="BW21" i="2"/>
  <c r="CS21" i="2" s="1"/>
  <c r="BO7" i="2"/>
  <c r="CF7" i="2"/>
  <c r="CF60" i="2"/>
  <c r="CN60" i="2" s="1"/>
  <c r="CF59" i="2"/>
  <c r="CF37" i="2"/>
  <c r="BW36" i="2"/>
  <c r="CS36" i="2" s="1"/>
  <c r="P280" i="2" l="1"/>
  <c r="P260" i="2"/>
  <c r="P271" i="2" s="1"/>
  <c r="P277" i="2" s="1"/>
  <c r="CF65" i="2"/>
  <c r="BO120" i="2"/>
  <c r="CN58" i="2"/>
  <c r="CQ177" i="2"/>
  <c r="CF266" i="2"/>
  <c r="CQ60" i="2"/>
  <c r="CQ78" i="2"/>
  <c r="BW13" i="2"/>
  <c r="CS13" i="2" s="1"/>
  <c r="CN196" i="2"/>
  <c r="CN230" i="2"/>
  <c r="CN166" i="2"/>
  <c r="CN157" i="2"/>
  <c r="CN127" i="2"/>
  <c r="CN124" i="2"/>
  <c r="CN122" i="2"/>
  <c r="CN125" i="2"/>
  <c r="CN150" i="2"/>
  <c r="CN116" i="2"/>
  <c r="CN173" i="2"/>
  <c r="CN234" i="2"/>
  <c r="CN171" i="2"/>
  <c r="BW177" i="2"/>
  <c r="CS177" i="2" s="1"/>
  <c r="CN231" i="2"/>
  <c r="CN133" i="2"/>
  <c r="CN174" i="2"/>
  <c r="BW180" i="2"/>
  <c r="CS180" i="2" s="1"/>
  <c r="BW9" i="2"/>
  <c r="CS9" i="2" s="1"/>
  <c r="BW123" i="2"/>
  <c r="CS123" i="2" s="1"/>
  <c r="BW206" i="2"/>
  <c r="CS206" i="2" s="1"/>
  <c r="CN149" i="2"/>
  <c r="CN104" i="2"/>
  <c r="CN105" i="2"/>
  <c r="CN235" i="2"/>
  <c r="CN238" i="2"/>
  <c r="CN229" i="2"/>
  <c r="CN178" i="2"/>
  <c r="BW182" i="2"/>
  <c r="CS182" i="2" s="1"/>
  <c r="BW211" i="2"/>
  <c r="CS211" i="2" s="1"/>
  <c r="BW53" i="2"/>
  <c r="CS53" i="2" s="1"/>
  <c r="BW51" i="2"/>
  <c r="CS51" i="2" s="1"/>
  <c r="CN102" i="2"/>
  <c r="CN107" i="2"/>
  <c r="CN65" i="2"/>
  <c r="CN282" i="2"/>
  <c r="CN139" i="2"/>
  <c r="CN111" i="2"/>
  <c r="CN233" i="2"/>
  <c r="BW156" i="2"/>
  <c r="CS156" i="2" s="1"/>
  <c r="BW157" i="2"/>
  <c r="CS157" i="2" s="1"/>
  <c r="BW65" i="2"/>
  <c r="BW282" i="2"/>
  <c r="CS282" i="2" s="1"/>
  <c r="CN142" i="2"/>
  <c r="CN147" i="2"/>
  <c r="AO252" i="2"/>
  <c r="AO274" i="2" s="1"/>
  <c r="AO250" i="2"/>
  <c r="AO253" i="2"/>
  <c r="AO275" i="2" s="1"/>
  <c r="AO256" i="2"/>
  <c r="AO276" i="2" s="1"/>
  <c r="AO251" i="2"/>
  <c r="CQ73" i="2"/>
  <c r="BW73" i="2"/>
  <c r="CS73" i="2" s="1"/>
  <c r="CQ228" i="2"/>
  <c r="BW228" i="2"/>
  <c r="CS228" i="2" s="1"/>
  <c r="BW8" i="2"/>
  <c r="CS8" i="2" s="1"/>
  <c r="CQ26" i="2"/>
  <c r="AE103" i="2"/>
  <c r="BW124" i="2"/>
  <c r="CS124" i="2" s="1"/>
  <c r="CQ124" i="2"/>
  <c r="BW120" i="2"/>
  <c r="BW263" i="2"/>
  <c r="CS263" i="2" s="1"/>
  <c r="CN109" i="2"/>
  <c r="CN70" i="2"/>
  <c r="CF262" i="2"/>
  <c r="CF283" i="2"/>
  <c r="BW125" i="2"/>
  <c r="CS125" i="2" s="1"/>
  <c r="CQ123" i="2"/>
  <c r="CQ171" i="2"/>
  <c r="BW171" i="2"/>
  <c r="CS171" i="2" s="1"/>
  <c r="CQ148" i="2"/>
  <c r="BW148" i="2"/>
  <c r="CS148" i="2" s="1"/>
  <c r="CN181" i="2"/>
  <c r="BW159" i="2"/>
  <c r="BW163" i="2"/>
  <c r="CS163" i="2" s="1"/>
  <c r="BW185" i="2"/>
  <c r="CS185" i="2" s="1"/>
  <c r="CQ185" i="2"/>
  <c r="BW126" i="2"/>
  <c r="CS126" i="2" s="1"/>
  <c r="BO175" i="2"/>
  <c r="BW226" i="2"/>
  <c r="CS226" i="2" s="1"/>
  <c r="BO241" i="2"/>
  <c r="CQ226" i="2"/>
  <c r="CQ200" i="2"/>
  <c r="BO214" i="2"/>
  <c r="BW200" i="2"/>
  <c r="BO284" i="2"/>
  <c r="CN228" i="2"/>
  <c r="CQ207" i="2"/>
  <c r="BW207" i="2"/>
  <c r="CS207" i="2" s="1"/>
  <c r="CQ232" i="2"/>
  <c r="BW232" i="2"/>
  <c r="CS232" i="2" s="1"/>
  <c r="CQ216" i="2"/>
  <c r="BW216" i="2"/>
  <c r="CS216" i="2" s="1"/>
  <c r="BW265" i="2"/>
  <c r="CS265" i="2" s="1"/>
  <c r="BW175" i="2"/>
  <c r="CQ215" i="2"/>
  <c r="BO224" i="2"/>
  <c r="BW215" i="2"/>
  <c r="BO285" i="2"/>
  <c r="BO267" i="2"/>
  <c r="BW202" i="2"/>
  <c r="CS202" i="2" s="1"/>
  <c r="CQ202" i="2"/>
  <c r="CN219" i="2"/>
  <c r="BW203" i="2"/>
  <c r="CS203" i="2" s="1"/>
  <c r="CQ203" i="2"/>
  <c r="BO24" i="2"/>
  <c r="BW7" i="2"/>
  <c r="CQ7" i="2"/>
  <c r="BO279" i="2"/>
  <c r="BO259" i="2"/>
  <c r="BW22" i="2"/>
  <c r="CS22" i="2" s="1"/>
  <c r="CS26" i="2"/>
  <c r="X41" i="2"/>
  <c r="X260" i="2"/>
  <c r="X280" i="2"/>
  <c r="BW17" i="2"/>
  <c r="CS17" i="2" s="1"/>
  <c r="BW18" i="2"/>
  <c r="CS18" i="2" s="1"/>
  <c r="BW83" i="2"/>
  <c r="CS83" i="2" s="1"/>
  <c r="CQ83" i="2"/>
  <c r="BW14" i="2"/>
  <c r="CS14" i="2" s="1"/>
  <c r="CQ126" i="2"/>
  <c r="CQ154" i="2"/>
  <c r="BW154" i="2"/>
  <c r="CS154" i="2" s="1"/>
  <c r="CN106" i="2"/>
  <c r="CN130" i="2"/>
  <c r="CF158" i="2"/>
  <c r="CF264" i="2"/>
  <c r="CQ85" i="2"/>
  <c r="BW85" i="2"/>
  <c r="CS85" i="2" s="1"/>
  <c r="CQ153" i="2"/>
  <c r="CQ140" i="2"/>
  <c r="BW140" i="2"/>
  <c r="CS140" i="2" s="1"/>
  <c r="BW227" i="2"/>
  <c r="CS227" i="2" s="1"/>
  <c r="CQ227" i="2"/>
  <c r="CQ218" i="2"/>
  <c r="BW218" i="2"/>
  <c r="CS218" i="2" s="1"/>
  <c r="BW143" i="2"/>
  <c r="CS143" i="2" s="1"/>
  <c r="CQ143" i="2"/>
  <c r="CN232" i="2"/>
  <c r="CN236" i="2"/>
  <c r="CQ236" i="2"/>
  <c r="CN216" i="2"/>
  <c r="CF267" i="2"/>
  <c r="CF285" i="2"/>
  <c r="CF224" i="2"/>
  <c r="CN99" i="2"/>
  <c r="CN283" i="2"/>
  <c r="CN262" i="2"/>
  <c r="CF57" i="2"/>
  <c r="CN42" i="2"/>
  <c r="CQ42" i="2"/>
  <c r="CQ57" i="2" s="1"/>
  <c r="CF261" i="2"/>
  <c r="CF281" i="2"/>
  <c r="CQ281" i="2" s="1"/>
  <c r="BW11" i="2"/>
  <c r="CS11" i="2" s="1"/>
  <c r="CQ65" i="2"/>
  <c r="BW12" i="2"/>
  <c r="CS12" i="2" s="1"/>
  <c r="CQ27" i="2"/>
  <c r="BW27" i="2"/>
  <c r="CS27" i="2" s="1"/>
  <c r="BW99" i="2"/>
  <c r="BW262" i="2"/>
  <c r="CS262" i="2" s="1"/>
  <c r="BW283" i="2"/>
  <c r="CS283" i="2" s="1"/>
  <c r="CN100" i="2"/>
  <c r="CN113" i="2"/>
  <c r="BW82" i="2"/>
  <c r="CS82" i="2" s="1"/>
  <c r="CQ82" i="2"/>
  <c r="CN159" i="2"/>
  <c r="CQ40" i="2"/>
  <c r="CN108" i="2"/>
  <c r="BW130" i="2"/>
  <c r="CQ130" i="2"/>
  <c r="BO158" i="2"/>
  <c r="BO264" i="2"/>
  <c r="CQ264" i="2" s="1"/>
  <c r="CQ155" i="2"/>
  <c r="BO192" i="2"/>
  <c r="BO266" i="2"/>
  <c r="BW176" i="2"/>
  <c r="CQ176" i="2"/>
  <c r="BW151" i="2"/>
  <c r="CS151" i="2" s="1"/>
  <c r="CQ151" i="2"/>
  <c r="CQ161" i="2"/>
  <c r="BW161" i="2"/>
  <c r="CS161" i="2" s="1"/>
  <c r="BW135" i="2"/>
  <c r="CS135" i="2" s="1"/>
  <c r="CQ135" i="2"/>
  <c r="BW162" i="2"/>
  <c r="CS162" i="2" s="1"/>
  <c r="CF241" i="2"/>
  <c r="CN225" i="2"/>
  <c r="CN241" i="2" s="1"/>
  <c r="CN227" i="2"/>
  <c r="CN226" i="2"/>
  <c r="CQ167" i="2"/>
  <c r="CQ175" i="2" s="1"/>
  <c r="BW167" i="2"/>
  <c r="CS167" i="2" s="1"/>
  <c r="BO265" i="2"/>
  <c r="CN240" i="2"/>
  <c r="CQ30" i="2"/>
  <c r="BW30" i="2"/>
  <c r="CS30" i="2" s="1"/>
  <c r="CN239" i="2"/>
  <c r="CQ220" i="2"/>
  <c r="BW220" i="2"/>
  <c r="CS220" i="2" s="1"/>
  <c r="CQ221" i="2"/>
  <c r="BW221" i="2"/>
  <c r="CS221" i="2" s="1"/>
  <c r="CN273" i="2"/>
  <c r="CN222" i="2"/>
  <c r="CN223" i="2"/>
  <c r="BW57" i="2"/>
  <c r="BW261" i="2"/>
  <c r="CS261" i="2" s="1"/>
  <c r="BW281" i="2"/>
  <c r="CS281" i="2" s="1"/>
  <c r="CQ33" i="2"/>
  <c r="BW33" i="2"/>
  <c r="CS33" i="2" s="1"/>
  <c r="BW91" i="2"/>
  <c r="CS91" i="2" s="1"/>
  <c r="CQ91" i="2"/>
  <c r="CQ20" i="2"/>
  <c r="BW20" i="2"/>
  <c r="CS20" i="2" s="1"/>
  <c r="BW87" i="2"/>
  <c r="CS87" i="2" s="1"/>
  <c r="CQ87" i="2"/>
  <c r="BW84" i="2"/>
  <c r="CS84" i="2" s="1"/>
  <c r="CQ84" i="2"/>
  <c r="CQ114" i="2"/>
  <c r="BW114" i="2"/>
  <c r="CS114" i="2" s="1"/>
  <c r="CQ133" i="2"/>
  <c r="BW133" i="2"/>
  <c r="CS133" i="2" s="1"/>
  <c r="CN110" i="2"/>
  <c r="CN117" i="2"/>
  <c r="BW186" i="2"/>
  <c r="CS186" i="2" s="1"/>
  <c r="CQ186" i="2"/>
  <c r="CN192" i="2"/>
  <c r="CN266" i="2"/>
  <c r="CN161" i="2"/>
  <c r="BW121" i="2"/>
  <c r="BW184" i="2"/>
  <c r="CS184" i="2" s="1"/>
  <c r="CQ184" i="2"/>
  <c r="BW194" i="2"/>
  <c r="CS194" i="2" s="1"/>
  <c r="CQ194" i="2"/>
  <c r="BW231" i="2"/>
  <c r="CS231" i="2" s="1"/>
  <c r="CQ231" i="2"/>
  <c r="CQ209" i="2"/>
  <c r="BW209" i="2"/>
  <c r="CS209" i="2" s="1"/>
  <c r="CF175" i="2"/>
  <c r="CN167" i="2"/>
  <c r="CF265" i="2"/>
  <c r="BW229" i="2"/>
  <c r="CS229" i="2" s="1"/>
  <c r="CQ229" i="2"/>
  <c r="CQ243" i="2"/>
  <c r="BO273" i="2"/>
  <c r="CQ273" i="2" s="1"/>
  <c r="BW243" i="2"/>
  <c r="CN220" i="2"/>
  <c r="CN221" i="2"/>
  <c r="CQ245" i="2"/>
  <c r="BW245" i="2"/>
  <c r="CS245" i="2" s="1"/>
  <c r="BO261" i="2"/>
  <c r="CN200" i="2"/>
  <c r="CF214" i="2"/>
  <c r="CF284" i="2"/>
  <c r="CQ69" i="2"/>
  <c r="BW69" i="2"/>
  <c r="CS69" i="2" s="1"/>
  <c r="CQ70" i="2"/>
  <c r="BW70" i="2"/>
  <c r="CS70" i="2" s="1"/>
  <c r="CN37" i="2"/>
  <c r="CQ37" i="2"/>
  <c r="CQ28" i="2"/>
  <c r="BW28" i="2"/>
  <c r="CS28" i="2" s="1"/>
  <c r="CQ31" i="2"/>
  <c r="BW31" i="2"/>
  <c r="CS31" i="2" s="1"/>
  <c r="BW15" i="2"/>
  <c r="CS15" i="2" s="1"/>
  <c r="BW19" i="2"/>
  <c r="CS19" i="2" s="1"/>
  <c r="BW44" i="2"/>
  <c r="CS44" i="2" s="1"/>
  <c r="BW46" i="2"/>
  <c r="CS46" i="2" s="1"/>
  <c r="BW43" i="2"/>
  <c r="CS43" i="2" s="1"/>
  <c r="BW55" i="2"/>
  <c r="CS55" i="2" s="1"/>
  <c r="BW56" i="2"/>
  <c r="CS56" i="2" s="1"/>
  <c r="BW16" i="2"/>
  <c r="CS16" i="2" s="1"/>
  <c r="CQ35" i="2"/>
  <c r="BW35" i="2"/>
  <c r="CS35" i="2" s="1"/>
  <c r="CQ95" i="2"/>
  <c r="BW10" i="2"/>
  <c r="CS10" i="2" s="1"/>
  <c r="CN112" i="2"/>
  <c r="BW74" i="2"/>
  <c r="CS74" i="2" s="1"/>
  <c r="CQ74" i="2"/>
  <c r="BW160" i="2"/>
  <c r="CS160" i="2" s="1"/>
  <c r="CQ160" i="2"/>
  <c r="CQ165" i="2" s="1"/>
  <c r="BO165" i="2"/>
  <c r="BO268" i="2"/>
  <c r="CN190" i="2"/>
  <c r="CN191" i="2"/>
  <c r="CN187" i="2"/>
  <c r="BW138" i="2"/>
  <c r="CS138" i="2" s="1"/>
  <c r="CQ138" i="2"/>
  <c r="CN162" i="2"/>
  <c r="CN115" i="2"/>
  <c r="BW188" i="2"/>
  <c r="CS188" i="2" s="1"/>
  <c r="CQ188" i="2"/>
  <c r="CN180" i="2"/>
  <c r="BW230" i="2"/>
  <c r="CS230" i="2" s="1"/>
  <c r="CQ230" i="2"/>
  <c r="CQ217" i="2"/>
  <c r="BW217" i="2"/>
  <c r="CS217" i="2" s="1"/>
  <c r="CN182" i="2"/>
  <c r="CS225" i="2"/>
  <c r="CS241" i="2" s="1"/>
  <c r="CQ149" i="2"/>
  <c r="BW149" i="2"/>
  <c r="CS149" i="2" s="1"/>
  <c r="CQ132" i="2"/>
  <c r="BW132" i="2"/>
  <c r="CS132" i="2" s="1"/>
  <c r="CN59" i="2"/>
  <c r="CF282" i="2"/>
  <c r="CQ282" i="2" s="1"/>
  <c r="BW75" i="2"/>
  <c r="CS75" i="2" s="1"/>
  <c r="CQ75" i="2"/>
  <c r="BW88" i="2"/>
  <c r="CS88" i="2" s="1"/>
  <c r="CQ88" i="2"/>
  <c r="CN121" i="2"/>
  <c r="CF129" i="2"/>
  <c r="CF269" i="2"/>
  <c r="BW127" i="2"/>
  <c r="CS127" i="2" s="1"/>
  <c r="CQ72" i="2"/>
  <c r="CQ122" i="2"/>
  <c r="CQ129" i="2" s="1"/>
  <c r="BW122" i="2"/>
  <c r="CS122" i="2" s="1"/>
  <c r="BO269" i="2"/>
  <c r="BW49" i="2"/>
  <c r="CS49" i="2" s="1"/>
  <c r="CQ116" i="2"/>
  <c r="CQ141" i="2"/>
  <c r="BW141" i="2"/>
  <c r="CS141" i="2" s="1"/>
  <c r="CQ79" i="2"/>
  <c r="CN114" i="2"/>
  <c r="CN160" i="2"/>
  <c r="CF268" i="2"/>
  <c r="BW90" i="2"/>
  <c r="CS90" i="2" s="1"/>
  <c r="CQ90" i="2"/>
  <c r="CQ77" i="2"/>
  <c r="BW179" i="2"/>
  <c r="CS179" i="2" s="1"/>
  <c r="CQ179" i="2"/>
  <c r="CN119" i="2"/>
  <c r="CQ25" i="2"/>
  <c r="BO41" i="2"/>
  <c r="BW25" i="2"/>
  <c r="BO280" i="2"/>
  <c r="BO260" i="2"/>
  <c r="BW235" i="2"/>
  <c r="CS235" i="2" s="1"/>
  <c r="CQ235" i="2"/>
  <c r="CQ136" i="2"/>
  <c r="CF199" i="2"/>
  <c r="CN193" i="2"/>
  <c r="CF270" i="2"/>
  <c r="CN218" i="2"/>
  <c r="CQ196" i="2"/>
  <c r="BW196" i="2"/>
  <c r="CS196" i="2" s="1"/>
  <c r="CN184" i="2"/>
  <c r="BW233" i="2"/>
  <c r="CS233" i="2" s="1"/>
  <c r="CQ233" i="2"/>
  <c r="CN189" i="2"/>
  <c r="BW246" i="2"/>
  <c r="CS246" i="2" s="1"/>
  <c r="CQ246" i="2"/>
  <c r="CF24" i="2"/>
  <c r="CN7" i="2"/>
  <c r="CF279" i="2"/>
  <c r="CF259" i="2"/>
  <c r="BW86" i="2"/>
  <c r="CS86" i="2" s="1"/>
  <c r="CQ86" i="2"/>
  <c r="CQ106" i="2"/>
  <c r="BW106" i="2"/>
  <c r="CS106" i="2" s="1"/>
  <c r="BW183" i="2"/>
  <c r="CS183" i="2" s="1"/>
  <c r="CQ183" i="2"/>
  <c r="CN103" i="2"/>
  <c r="CF120" i="2"/>
  <c r="CF263" i="2"/>
  <c r="CQ34" i="2"/>
  <c r="BW34" i="2"/>
  <c r="CS34" i="2" s="1"/>
  <c r="CQ29" i="2"/>
  <c r="BW29" i="2"/>
  <c r="CS29" i="2" s="1"/>
  <c r="CQ32" i="2"/>
  <c r="BW32" i="2"/>
  <c r="CS32" i="2" s="1"/>
  <c r="CQ68" i="2"/>
  <c r="BW68" i="2"/>
  <c r="CS68" i="2" s="1"/>
  <c r="BO99" i="2"/>
  <c r="BO283" i="2"/>
  <c r="CQ283" i="2" s="1"/>
  <c r="BO262" i="2"/>
  <c r="CQ262" i="2" s="1"/>
  <c r="BW103" i="2"/>
  <c r="CS103" i="2" s="1"/>
  <c r="CQ103" i="2"/>
  <c r="BO263" i="2"/>
  <c r="CQ113" i="2"/>
  <c r="BW113" i="2"/>
  <c r="CS113" i="2" s="1"/>
  <c r="BW52" i="2"/>
  <c r="CS52" i="2" s="1"/>
  <c r="BW93" i="2"/>
  <c r="CS93" i="2" s="1"/>
  <c r="CQ93" i="2"/>
  <c r="CF99" i="2"/>
  <c r="CN101" i="2"/>
  <c r="CQ144" i="2"/>
  <c r="CN164" i="2"/>
  <c r="BW181" i="2"/>
  <c r="CS181" i="2" s="1"/>
  <c r="CQ181" i="2"/>
  <c r="CQ152" i="2"/>
  <c r="CN25" i="2"/>
  <c r="CF41" i="2"/>
  <c r="CF280" i="2"/>
  <c r="CF260" i="2"/>
  <c r="BW204" i="2"/>
  <c r="CS204" i="2" s="1"/>
  <c r="CQ204" i="2"/>
  <c r="CN215" i="2"/>
  <c r="BW146" i="2"/>
  <c r="CS146" i="2" s="1"/>
  <c r="CQ146" i="2"/>
  <c r="CQ205" i="2"/>
  <c r="BW205" i="2"/>
  <c r="CS205" i="2" s="1"/>
  <c r="BW193" i="2"/>
  <c r="BO199" i="2"/>
  <c r="BO270" i="2"/>
  <c r="CQ193" i="2"/>
  <c r="BW234" i="2"/>
  <c r="CS234" i="2" s="1"/>
  <c r="CQ234" i="2"/>
  <c r="CS287" i="2"/>
  <c r="CS288" i="2" s="1"/>
  <c r="CQ288" i="2"/>
  <c r="CQ219" i="2"/>
  <c r="BW219" i="2"/>
  <c r="CS219" i="2" s="1"/>
  <c r="CQ120" i="2" l="1"/>
  <c r="CQ269" i="2"/>
  <c r="CQ266" i="2"/>
  <c r="CN175" i="2"/>
  <c r="CN265" i="2"/>
  <c r="CQ199" i="2"/>
  <c r="CQ99" i="2"/>
  <c r="CQ241" i="2"/>
  <c r="CN129" i="2"/>
  <c r="CN269" i="2"/>
  <c r="X271" i="2"/>
  <c r="BW285" i="2"/>
  <c r="CS285" i="2" s="1"/>
  <c r="BW267" i="2"/>
  <c r="CS267" i="2" s="1"/>
  <c r="CS215" i="2"/>
  <c r="CS224" i="2" s="1"/>
  <c r="BW224" i="2"/>
  <c r="CQ265" i="2"/>
  <c r="CQ214" i="2"/>
  <c r="CQ270" i="2"/>
  <c r="CN199" i="2"/>
  <c r="CN270" i="2"/>
  <c r="CF271" i="2"/>
  <c r="CQ41" i="2"/>
  <c r="CS243" i="2"/>
  <c r="BW273" i="2"/>
  <c r="CS273" i="2" s="1"/>
  <c r="CN165" i="2"/>
  <c r="CN268" i="2"/>
  <c r="CN57" i="2"/>
  <c r="CN261" i="2"/>
  <c r="CN281" i="2"/>
  <c r="CQ224" i="2"/>
  <c r="CY224" i="2" s="1"/>
  <c r="BW165" i="2"/>
  <c r="CS159" i="2"/>
  <c r="CS165" i="2" s="1"/>
  <c r="BW268" i="2"/>
  <c r="CS268" i="2" s="1"/>
  <c r="CQ263" i="2"/>
  <c r="CS176" i="2"/>
  <c r="CS192" i="2" s="1"/>
  <c r="BW192" i="2"/>
  <c r="BW266" i="2"/>
  <c r="CS266" i="2" s="1"/>
  <c r="BW199" i="2"/>
  <c r="BW270" i="2"/>
  <c r="CS270" i="2" s="1"/>
  <c r="CS193" i="2"/>
  <c r="CS199" i="2" s="1"/>
  <c r="CN24" i="2"/>
  <c r="CN259" i="2"/>
  <c r="CN271" i="2" s="1"/>
  <c r="CN279" i="2"/>
  <c r="CQ268" i="2"/>
  <c r="CN214" i="2"/>
  <c r="CN284" i="2"/>
  <c r="BW129" i="2"/>
  <c r="CS121" i="2"/>
  <c r="CS129" i="2" s="1"/>
  <c r="BW269" i="2"/>
  <c r="CS269" i="2" s="1"/>
  <c r="CN158" i="2"/>
  <c r="CN264" i="2"/>
  <c r="BO271" i="2"/>
  <c r="CQ259" i="2"/>
  <c r="CQ261" i="2"/>
  <c r="CQ279" i="2"/>
  <c r="AO272" i="2"/>
  <c r="AO277" i="2" s="1"/>
  <c r="AO257" i="2"/>
  <c r="BW41" i="2"/>
  <c r="BW280" i="2"/>
  <c r="BW260" i="2"/>
  <c r="CS260" i="2" s="1"/>
  <c r="CS25" i="2"/>
  <c r="CS41" i="2" s="1"/>
  <c r="CN41" i="2"/>
  <c r="CN260" i="2"/>
  <c r="CN280" i="2"/>
  <c r="CQ260" i="2"/>
  <c r="CQ158" i="2"/>
  <c r="CN120" i="2"/>
  <c r="CN263" i="2"/>
  <c r="CQ24" i="2"/>
  <c r="CQ267" i="2"/>
  <c r="CQ284" i="2"/>
  <c r="CN224" i="2"/>
  <c r="CN267" i="2"/>
  <c r="CN285" i="2"/>
  <c r="CQ280" i="2"/>
  <c r="CQ192" i="2"/>
  <c r="CS130" i="2"/>
  <c r="CS158" i="2" s="1"/>
  <c r="BW158" i="2"/>
  <c r="BW264" i="2"/>
  <c r="CS264" i="2" s="1"/>
  <c r="CS280" i="2"/>
  <c r="BW24" i="2"/>
  <c r="BW279" i="2"/>
  <c r="CS279" i="2" s="1"/>
  <c r="BW259" i="2"/>
  <c r="CS7" i="2"/>
  <c r="CS24" i="2" s="1"/>
  <c r="CQ285" i="2"/>
  <c r="BW214" i="2"/>
  <c r="BW284" i="2"/>
  <c r="CS284" i="2" s="1"/>
  <c r="CS200" i="2"/>
  <c r="CS214" i="2" s="1"/>
  <c r="BO251" i="2" l="1"/>
  <c r="CQ251" i="2" s="1"/>
  <c r="BO252" i="2"/>
  <c r="BO253" i="2"/>
  <c r="BO256" i="2"/>
  <c r="BO250" i="2"/>
  <c r="CQ271" i="2"/>
  <c r="CF250" i="2"/>
  <c r="CF251" i="2"/>
  <c r="CF252" i="2"/>
  <c r="CF274" i="2" s="1"/>
  <c r="CF253" i="2"/>
  <c r="CF275" i="2" s="1"/>
  <c r="CF256" i="2"/>
  <c r="CF276" i="2" s="1"/>
  <c r="CS259" i="2"/>
  <c r="BW271" i="2"/>
  <c r="CN277" i="2"/>
  <c r="CN256" i="2"/>
  <c r="CN276" i="2" s="1"/>
  <c r="CN250" i="2"/>
  <c r="CN251" i="2"/>
  <c r="CN252" i="2"/>
  <c r="CN274" i="2" s="1"/>
  <c r="CN253" i="2"/>
  <c r="CN275" i="2" s="1"/>
  <c r="X250" i="2"/>
  <c r="X251" i="2"/>
  <c r="X253" i="2"/>
  <c r="CS271" i="2"/>
  <c r="X256" i="2"/>
  <c r="X252" i="2"/>
  <c r="BO272" i="2" l="1"/>
  <c r="CQ250" i="2"/>
  <c r="BO257" i="2"/>
  <c r="AS376" i="2"/>
  <c r="AT376" i="2"/>
  <c r="AR376" i="2"/>
  <c r="X272" i="2"/>
  <c r="X257" i="2"/>
  <c r="CQ256" i="2"/>
  <c r="BO276" i="2"/>
  <c r="CQ276" i="2" s="1"/>
  <c r="X274" i="2"/>
  <c r="CS256" i="2"/>
  <c r="X276" i="2"/>
  <c r="CS276" i="2" s="1"/>
  <c r="CQ253" i="2"/>
  <c r="BO275" i="2"/>
  <c r="CQ275" i="2" s="1"/>
  <c r="BW256" i="2"/>
  <c r="BW276" i="2" s="1"/>
  <c r="BW277" i="2"/>
  <c r="BW250" i="2"/>
  <c r="CS250" i="2" s="1"/>
  <c r="CS257" i="2" s="1"/>
  <c r="BW251" i="2"/>
  <c r="CS251" i="2" s="1"/>
  <c r="BW252" i="2"/>
  <c r="BW274" i="2" s="1"/>
  <c r="BW253" i="2"/>
  <c r="BW275" i="2" s="1"/>
  <c r="CN272" i="2"/>
  <c r="CN257" i="2"/>
  <c r="BO274" i="2"/>
  <c r="CQ274" i="2" s="1"/>
  <c r="CQ252" i="2"/>
  <c r="CF272" i="2"/>
  <c r="CF277" i="2" s="1"/>
  <c r="CF257" i="2"/>
  <c r="X275" i="2"/>
  <c r="CS275" i="2" s="1"/>
  <c r="CS253" i="2" l="1"/>
  <c r="CS272" i="2"/>
  <c r="X277" i="2"/>
  <c r="CS277" i="2" s="1"/>
  <c r="BW272" i="2"/>
  <c r="BW257" i="2"/>
  <c r="CS274" i="2"/>
  <c r="CS252" i="2"/>
  <c r="CQ257" i="2"/>
  <c r="CQ272" i="2"/>
  <c r="CX275" i="2" s="1"/>
  <c r="BO277" i="2"/>
  <c r="CQ277" i="2" s="1"/>
  <c r="I254" i="2" l="1"/>
  <c r="AQ376" i="2" l="1"/>
  <c r="CS376" i="2" s="1"/>
</calcChain>
</file>

<file path=xl/comments1.xml><?xml version="1.0" encoding="utf-8"?>
<comments xmlns="http://schemas.openxmlformats.org/spreadsheetml/2006/main">
  <authors>
    <author>Janko Milan, Ing.</author>
  </authors>
  <commentList>
    <comment ref="G1" authorId="0" shapeId="0">
      <text>
        <r>
          <rPr>
            <b/>
            <sz val="9"/>
            <color indexed="81"/>
            <rFont val="Tahoma"/>
            <family val="2"/>
            <charset val="238"/>
          </rPr>
          <t>Janko Milan, Ing.:</t>
        </r>
        <r>
          <rPr>
            <sz val="9"/>
            <color indexed="81"/>
            <rFont val="Tahoma"/>
            <family val="2"/>
            <charset val="238"/>
          </rPr>
          <t xml:space="preserve">
1,0000 = CU2019
1,0235 = CU2020</t>
        </r>
      </text>
    </comment>
  </commentList>
</comments>
</file>

<file path=xl/sharedStrings.xml><?xml version="1.0" encoding="utf-8"?>
<sst xmlns="http://schemas.openxmlformats.org/spreadsheetml/2006/main" count="1098" uniqueCount="619">
  <si>
    <t>Q06</t>
  </si>
  <si>
    <t>Zbytky z A + Osvědčení o shodě notifikovanou osobou v realizaci (0,07% ZRN) + Koordinátor BOZP v realizaci (0,20% ZRN) + Osvědčení o bezpečnosti před uvedením do provozu (0,02% ZRN) + Rekultivace (individuáĺně) + Zajištění veřejných zájmů (individuálně) + Hlukové měření pro účely realizace stavby (individuálně) + Podíl na účelně vynaložených nákl. ve smyslu zák. č.458/00 Sb. (individuálně) + Podíl na účelně vynaložených nákladech dle zákona č. 127/2005 Sb. (individuálně)</t>
  </si>
  <si>
    <t>Q05</t>
  </si>
  <si>
    <t>součet</t>
  </si>
  <si>
    <t>P07</t>
  </si>
  <si>
    <t>P06</t>
  </si>
  <si>
    <t>P05</t>
  </si>
  <si>
    <t>O16</t>
  </si>
  <si>
    <t>O15</t>
  </si>
  <si>
    <t>O14</t>
  </si>
  <si>
    <t>O13</t>
  </si>
  <si>
    <t>O12</t>
  </si>
  <si>
    <t>N09</t>
  </si>
  <si>
    <t>N08</t>
  </si>
  <si>
    <t>N07</t>
  </si>
  <si>
    <t>N06</t>
  </si>
  <si>
    <t>M14</t>
  </si>
  <si>
    <t>M13</t>
  </si>
  <si>
    <t>M12</t>
  </si>
  <si>
    <t>M11</t>
  </si>
  <si>
    <t>M10</t>
  </si>
  <si>
    <t>L06</t>
  </si>
  <si>
    <t>L05</t>
  </si>
  <si>
    <t>L04</t>
  </si>
  <si>
    <t>L03</t>
  </si>
  <si>
    <t>K16</t>
  </si>
  <si>
    <t>K15</t>
  </si>
  <si>
    <t>K14</t>
  </si>
  <si>
    <t>K13</t>
  </si>
  <si>
    <t>K12</t>
  </si>
  <si>
    <t>J09</t>
  </si>
  <si>
    <t>J08</t>
  </si>
  <si>
    <t>J07</t>
  </si>
  <si>
    <t>J06</t>
  </si>
  <si>
    <t>J05</t>
  </si>
  <si>
    <t>I06</t>
  </si>
  <si>
    <t>I05</t>
  </si>
  <si>
    <t>I04</t>
  </si>
  <si>
    <t>I03</t>
  </si>
  <si>
    <t>H28</t>
  </si>
  <si>
    <t>H27</t>
  </si>
  <si>
    <t>H26</t>
  </si>
  <si>
    <t>H25</t>
  </si>
  <si>
    <t>H24</t>
  </si>
  <si>
    <t>G08</t>
  </si>
  <si>
    <t>G07</t>
  </si>
  <si>
    <t>G06</t>
  </si>
  <si>
    <t>G05</t>
  </si>
  <si>
    <t>F20</t>
  </si>
  <si>
    <t>F19</t>
  </si>
  <si>
    <t>F18</t>
  </si>
  <si>
    <t>F17</t>
  </si>
  <si>
    <t>F16</t>
  </si>
  <si>
    <t>E33</t>
  </si>
  <si>
    <t>E32</t>
  </si>
  <si>
    <t>E31</t>
  </si>
  <si>
    <t>E30</t>
  </si>
  <si>
    <t>E29</t>
  </si>
  <si>
    <t>D07</t>
  </si>
  <si>
    <t>D06</t>
  </si>
  <si>
    <t>D05</t>
  </si>
  <si>
    <t>D04</t>
  </si>
  <si>
    <t>C15</t>
  </si>
  <si>
    <t>C14</t>
  </si>
  <si>
    <t>C13</t>
  </si>
  <si>
    <t>C12</t>
  </si>
  <si>
    <t>C11</t>
  </si>
  <si>
    <t>C05</t>
  </si>
  <si>
    <t>C03</t>
  </si>
  <si>
    <t>B16</t>
  </si>
  <si>
    <t>B15</t>
  </si>
  <si>
    <t>B14</t>
  </si>
  <si>
    <t>B13</t>
  </si>
  <si>
    <t>B12</t>
  </si>
  <si>
    <t>A17</t>
  </si>
  <si>
    <t>A16</t>
  </si>
  <si>
    <t>A15</t>
  </si>
  <si>
    <t>A14</t>
  </si>
  <si>
    <t>A13</t>
  </si>
  <si>
    <t>náplň položky</t>
  </si>
  <si>
    <t>položka</t>
  </si>
  <si>
    <t>Upřesnění</t>
  </si>
  <si>
    <t>celostátní dráha</t>
  </si>
  <si>
    <t>R6</t>
  </si>
  <si>
    <t>realizace 2028 - 2034</t>
  </si>
  <si>
    <t>R5</t>
  </si>
  <si>
    <t>celostátní dráha - 2028 začátek realizace</t>
  </si>
  <si>
    <t>R4</t>
  </si>
  <si>
    <t>extravilán - chráněné území se vyskytuje</t>
  </si>
  <si>
    <t>R3</t>
  </si>
  <si>
    <t>celostátní dráha - TEN-T</t>
  </si>
  <si>
    <t>R2</t>
  </si>
  <si>
    <t>nedochází ke změně trasy</t>
  </si>
  <si>
    <t>dochází ke změně konfigurace kolejiště</t>
  </si>
  <si>
    <t>nová trasa</t>
  </si>
  <si>
    <t>R1</t>
  </si>
  <si>
    <t>rizika - investiční úsek 4</t>
  </si>
  <si>
    <t>rizika - investiční úsek 3</t>
  </si>
  <si>
    <t>rizika - investiční úsek 2</t>
  </si>
  <si>
    <t>rizika - investiční úsek 1</t>
  </si>
  <si>
    <t>(pod investičními úseky)</t>
  </si>
  <si>
    <t>Volba rizika</t>
  </si>
  <si>
    <t>mil. Kč / km tratě</t>
  </si>
  <si>
    <t>Měrné celkové investiční náklady</t>
  </si>
  <si>
    <t>km</t>
  </si>
  <si>
    <t>Délka tratě</t>
  </si>
  <si>
    <t>mil. Kč</t>
  </si>
  <si>
    <t>Trakční a energetická zařízení</t>
  </si>
  <si>
    <t>E.3</t>
  </si>
  <si>
    <t>Pozemní stavební objekty</t>
  </si>
  <si>
    <t>E.2</t>
  </si>
  <si>
    <t>Inženýrské objekty</t>
  </si>
  <si>
    <t>E.1</t>
  </si>
  <si>
    <t>E. Stavební část</t>
  </si>
  <si>
    <t>Ostatní technologická zařízení</t>
  </si>
  <si>
    <t>D.4</t>
  </si>
  <si>
    <t>Silnoproudá technologie včetně DŘT</t>
  </si>
  <si>
    <t>D.3</t>
  </si>
  <si>
    <t>Železniční sdělovací zařízení</t>
  </si>
  <si>
    <t>D.2</t>
  </si>
  <si>
    <t>Železniční zabezpečovací zařízení</t>
  </si>
  <si>
    <t>D.1</t>
  </si>
  <si>
    <t>D. Technologická část</t>
  </si>
  <si>
    <t>Kontrolní rozdělení nákladů dle směrnice                                                                   GŘ SŽDC 11/2006</t>
  </si>
  <si>
    <t>Celkové investiční náklady</t>
  </si>
  <si>
    <t>%</t>
  </si>
  <si>
    <t>REZERVA</t>
  </si>
  <si>
    <t>R01</t>
  </si>
  <si>
    <t>Technický dozor</t>
  </si>
  <si>
    <t>Technická asistence, propagace</t>
  </si>
  <si>
    <t>Výkupy pozemků a nemovitostí</t>
  </si>
  <si>
    <t>Přípravná a projektová dokumentace, průzkumy</t>
  </si>
  <si>
    <t>Náklady realizace</t>
  </si>
  <si>
    <t>Celková investiční náročnost</t>
  </si>
  <si>
    <t>Objekty ochrany životního prostředí</t>
  </si>
  <si>
    <t>Pozemní stavby, nástupiště a přístřešky</t>
  </si>
  <si>
    <t>Inženýrské sítě (trubní vedení, kabelovody)</t>
  </si>
  <si>
    <t>Trakce</t>
  </si>
  <si>
    <t>Komunikace a zpevněné plochy</t>
  </si>
  <si>
    <t>Tunely</t>
  </si>
  <si>
    <t>Mosty, propustky, zdi</t>
  </si>
  <si>
    <t>Železniční spodek</t>
  </si>
  <si>
    <t>Železniční svršek</t>
  </si>
  <si>
    <t>Silnoproudé rozvody a zařízení</t>
  </si>
  <si>
    <t>Sdělovací zařízení</t>
  </si>
  <si>
    <t>Zabezpečovací zařízení</t>
  </si>
  <si>
    <t>Kalkulace zůstatkové hodnoty</t>
  </si>
  <si>
    <t>Rekapitulace nákladů pro výpočet CBA</t>
  </si>
  <si>
    <t>CELKEM</t>
  </si>
  <si>
    <t>Rezerva</t>
  </si>
  <si>
    <t>NAD - kvalifikovaný odhad</t>
  </si>
  <si>
    <t>Ostatní nákl. pro zajištění realizace st. + příspěvky jiným investorům</t>
  </si>
  <si>
    <t>Q04</t>
  </si>
  <si>
    <t>Technická asistence a propagace</t>
  </si>
  <si>
    <t>Q03</t>
  </si>
  <si>
    <t>Průzkumy, geodetické měření</t>
  </si>
  <si>
    <t>Q02</t>
  </si>
  <si>
    <t>Dokumentace stavby</t>
  </si>
  <si>
    <t>Q01</t>
  </si>
  <si>
    <t>Ostatní náklady na přípravu</t>
  </si>
  <si>
    <t>Individuální kalkulace - nájmy</t>
  </si>
  <si>
    <t>Individuální kalkulace - věcná břemena</t>
  </si>
  <si>
    <t>Výkupy nemovitostí (individuální kalkulace)</t>
  </si>
  <si>
    <t>mil. Kč / ha</t>
  </si>
  <si>
    <t>Mimo zastavěné území</t>
  </si>
  <si>
    <t>P04</t>
  </si>
  <si>
    <t>Zastavitelné území obce</t>
  </si>
  <si>
    <t>P03</t>
  </si>
  <si>
    <t>Zastavitelné území města</t>
  </si>
  <si>
    <t>P02</t>
  </si>
  <si>
    <t>Zábor ZPF, PUPFL</t>
  </si>
  <si>
    <t>P01</t>
  </si>
  <si>
    <t>Vedlejší náklady stavby</t>
  </si>
  <si>
    <t>Individuální kalkulace</t>
  </si>
  <si>
    <t>Individuální kalkulace - osvětlení podjezdu / podchodu</t>
  </si>
  <si>
    <t>Rezervní řádek</t>
  </si>
  <si>
    <t>Rezervní řádek - vnější uzemnění</t>
  </si>
  <si>
    <t>Rezervní řádek - Ukolejnění kovových konstrukcí</t>
  </si>
  <si>
    <t>Ostatní</t>
  </si>
  <si>
    <t>ks ovl. jednotky</t>
  </si>
  <si>
    <t>DOÚO</t>
  </si>
  <si>
    <t>O11</t>
  </si>
  <si>
    <t>v.j.</t>
  </si>
  <si>
    <t>EOV</t>
  </si>
  <si>
    <t>O10</t>
  </si>
  <si>
    <t>Přeložka NN, VN</t>
  </si>
  <si>
    <t>O09</t>
  </si>
  <si>
    <t>žst.</t>
  </si>
  <si>
    <t>Rozvody VN,NN</t>
  </si>
  <si>
    <t>O08</t>
  </si>
  <si>
    <t>Technologie a rozvody</t>
  </si>
  <si>
    <t>bm tunelu</t>
  </si>
  <si>
    <t>Elektroinstalace v tunelu</t>
  </si>
  <si>
    <t>O07</t>
  </si>
  <si>
    <t>Přívodní vedení NN</t>
  </si>
  <si>
    <t>O06</t>
  </si>
  <si>
    <t>Přívodní vedení 22 kV</t>
  </si>
  <si>
    <t>O05</t>
  </si>
  <si>
    <t>Přívodní vedení 110 kV</t>
  </si>
  <si>
    <t>O04</t>
  </si>
  <si>
    <t>Vedení</t>
  </si>
  <si>
    <t xml:space="preserve">Osvětlení tunelů </t>
  </si>
  <si>
    <t>O03</t>
  </si>
  <si>
    <t>ks stožáru</t>
  </si>
  <si>
    <t>Osvětlení zastávky (osvětlovací stožáry)</t>
  </si>
  <si>
    <t>O02</t>
  </si>
  <si>
    <t>ks věže</t>
  </si>
  <si>
    <t>Osvětlení stanice (osvětlovací věže)</t>
  </si>
  <si>
    <t>O01</t>
  </si>
  <si>
    <t>Osvětlení</t>
  </si>
  <si>
    <t>Energetická zařízení</t>
  </si>
  <si>
    <t>Individuální kalkulace TV AC</t>
  </si>
  <si>
    <t>km vedení</t>
  </si>
  <si>
    <t>Úprava zpětného vedení</t>
  </si>
  <si>
    <t>Úprava napájecího a obcházecího vedení vč. neutrálních polí</t>
  </si>
  <si>
    <t>km koleje</t>
  </si>
  <si>
    <t>Demontáž trakčního vedení</t>
  </si>
  <si>
    <t>N05</t>
  </si>
  <si>
    <t>Montáž trakčního vedení, střídavá soustava (trať)</t>
  </si>
  <si>
    <t>N04</t>
  </si>
  <si>
    <t>Montáž trakčního vedení, střídavá soustava (stanice)</t>
  </si>
  <si>
    <t>N03</t>
  </si>
  <si>
    <t>Montáž trakčního vedení, stejnosměrná soustava (trať)</t>
  </si>
  <si>
    <t>N02</t>
  </si>
  <si>
    <t>Montáž trakčního vedení, stejnosměrná soustava (stanice)</t>
  </si>
  <si>
    <t>N01</t>
  </si>
  <si>
    <t>Trakční vedení</t>
  </si>
  <si>
    <t>Trakční zařízení</t>
  </si>
  <si>
    <t>Individuální kalkulace - orientační systém</t>
  </si>
  <si>
    <t>Individuální kalkulace - základy pro technologické objekty</t>
  </si>
  <si>
    <t>Rezervní řádek - Přístřešky pro kola</t>
  </si>
  <si>
    <t>Rezervní řádek - Drobná architektura</t>
  </si>
  <si>
    <t>m2</t>
  </si>
  <si>
    <t>Přístřešek</t>
  </si>
  <si>
    <t>M09</t>
  </si>
  <si>
    <t>Zastřešení nástupišť</t>
  </si>
  <si>
    <t>M08</t>
  </si>
  <si>
    <t>bm</t>
  </si>
  <si>
    <t>Oplocení</t>
  </si>
  <si>
    <t>M07</t>
  </si>
  <si>
    <t>m3 OP</t>
  </si>
  <si>
    <t>Demolice objektů</t>
  </si>
  <si>
    <t>M06</t>
  </si>
  <si>
    <t>ks</t>
  </si>
  <si>
    <t>Objekt pro technologické zařízení - malý</t>
  </si>
  <si>
    <t>M05</t>
  </si>
  <si>
    <t>Objekt pro technologické zařízení - velký</t>
  </si>
  <si>
    <t>M04</t>
  </si>
  <si>
    <t>Výpravní budova (individuálně)</t>
  </si>
  <si>
    <t>M03</t>
  </si>
  <si>
    <t xml:space="preserve">Stavební úpravy - rekonstrukce budov </t>
  </si>
  <si>
    <t>M02</t>
  </si>
  <si>
    <t>Novostavba budov</t>
  </si>
  <si>
    <t>M01</t>
  </si>
  <si>
    <t>Budovy a technologické objekty</t>
  </si>
  <si>
    <t>ks objektů</t>
  </si>
  <si>
    <t>Individuální protihluková opatření (IPO)</t>
  </si>
  <si>
    <t>L02</t>
  </si>
  <si>
    <t>m</t>
  </si>
  <si>
    <t>Protihluková stěna (PHS) nová</t>
  </si>
  <si>
    <t>L01</t>
  </si>
  <si>
    <t>Protihluková opatření</t>
  </si>
  <si>
    <t>Protihlukové objekty</t>
  </si>
  <si>
    <t>Individuální kalkulace - silniční propustek</t>
  </si>
  <si>
    <t>Individuální kalkulace - lávka pro pěší</t>
  </si>
  <si>
    <t>Rezervní řádek - Zábrany proti dotyku</t>
  </si>
  <si>
    <t>Silniční mosty a nadjezdy - demolice</t>
  </si>
  <si>
    <t>K11</t>
  </si>
  <si>
    <t>Silniční mosty a nadjezdy - nové</t>
  </si>
  <si>
    <t>K10</t>
  </si>
  <si>
    <t>m3</t>
  </si>
  <si>
    <t>Náspy</t>
  </si>
  <si>
    <t>K09</t>
  </si>
  <si>
    <t>Výkopy</t>
  </si>
  <si>
    <t>K08</t>
  </si>
  <si>
    <t>Těleso a mosty</t>
  </si>
  <si>
    <t>Demolice vozovky / zpevněné plochy</t>
  </si>
  <si>
    <t>K07</t>
  </si>
  <si>
    <t>Chodník / stezka</t>
  </si>
  <si>
    <t>K06</t>
  </si>
  <si>
    <t>Parkoviště, zpevněné plochy</t>
  </si>
  <si>
    <t>K05</t>
  </si>
  <si>
    <t>Vozovka silnice III. třídy / místní komunikace</t>
  </si>
  <si>
    <t>K04</t>
  </si>
  <si>
    <t>Vozovka silnice II. třídy</t>
  </si>
  <si>
    <t>K03</t>
  </si>
  <si>
    <t>Vozovka silnice I. třídy</t>
  </si>
  <si>
    <t>K02</t>
  </si>
  <si>
    <t xml:space="preserve">Vozovka dálnice </t>
  </si>
  <si>
    <t>K01</t>
  </si>
  <si>
    <t>Vozovky a plochy</t>
  </si>
  <si>
    <t>Pozemní komunikace</t>
  </si>
  <si>
    <t>Tunel - rekonstrukce (Individuální kalkulace)</t>
  </si>
  <si>
    <t>Tunel - novostavba, 2-kolejný, nad 500 m</t>
  </si>
  <si>
    <t>J04</t>
  </si>
  <si>
    <t>Tunel - novostavba, 2-kolejný, do 500 m</t>
  </si>
  <si>
    <t>J03</t>
  </si>
  <si>
    <t>Tunel - novostavba, 1-kolejný, nad 500 m</t>
  </si>
  <si>
    <t>J02</t>
  </si>
  <si>
    <t>Tunel - novostavba, 1-kolejný, do 500 m</t>
  </si>
  <si>
    <t>J01</t>
  </si>
  <si>
    <t>Železniční tunely</t>
  </si>
  <si>
    <t>Individuální kalkulace - kabelovod</t>
  </si>
  <si>
    <t>km tratě</t>
  </si>
  <si>
    <t>V řídce zastavěném území</t>
  </si>
  <si>
    <t>I02</t>
  </si>
  <si>
    <t>V hustě zastavěném území</t>
  </si>
  <si>
    <t>I01</t>
  </si>
  <si>
    <t>Přeložky sítí</t>
  </si>
  <si>
    <t>Inženýrské sítě</t>
  </si>
  <si>
    <t>Obkladní zdi</t>
  </si>
  <si>
    <t>H23</t>
  </si>
  <si>
    <t>Opěrné a zárubní zdi - demolice</t>
  </si>
  <si>
    <t>H22</t>
  </si>
  <si>
    <t>Opěrné a zárubní zdi - rekonstrukce</t>
  </si>
  <si>
    <t>H21</t>
  </si>
  <si>
    <t>Opěrné a zárubní zdi (nad 5 m výšky)</t>
  </si>
  <si>
    <t>H20</t>
  </si>
  <si>
    <t>Opěrné a zárubní zdi (do 5 m výšky)</t>
  </si>
  <si>
    <t>H19</t>
  </si>
  <si>
    <t>Zdi</t>
  </si>
  <si>
    <t>Návěstní lávka (přes 4 koleje)</t>
  </si>
  <si>
    <t>H18</t>
  </si>
  <si>
    <t>Návěstní krakorec (přes 2 koleje)</t>
  </si>
  <si>
    <t>H17</t>
  </si>
  <si>
    <t>Lávky pro pěší</t>
  </si>
  <si>
    <t>H16</t>
  </si>
  <si>
    <t>Lávky</t>
  </si>
  <si>
    <t>Demolice stávajícího podchodu</t>
  </si>
  <si>
    <t>H15</t>
  </si>
  <si>
    <t>Rekonstrukce podchodu</t>
  </si>
  <si>
    <t>H14</t>
  </si>
  <si>
    <t>Schodiště</t>
  </si>
  <si>
    <t>H13</t>
  </si>
  <si>
    <t xml:space="preserve">Šikmý chodník </t>
  </si>
  <si>
    <t>H12</t>
  </si>
  <si>
    <t>Nový podchod</t>
  </si>
  <si>
    <t>H11</t>
  </si>
  <si>
    <t>Podchody</t>
  </si>
  <si>
    <t>Demolice propustku</t>
  </si>
  <si>
    <t>H10</t>
  </si>
  <si>
    <t>Rekonstrukce propustku</t>
  </si>
  <si>
    <t>H09</t>
  </si>
  <si>
    <t>Nový propustek</t>
  </si>
  <si>
    <t>H08</t>
  </si>
  <si>
    <t>Propustky</t>
  </si>
  <si>
    <t>Mostní provizoria</t>
  </si>
  <si>
    <t>H07</t>
  </si>
  <si>
    <t>Železniční most - demolice</t>
  </si>
  <si>
    <t>H06</t>
  </si>
  <si>
    <t>Železniční most - úprava mostů s přesypáním</t>
  </si>
  <si>
    <t>H05</t>
  </si>
  <si>
    <t>Železniční most - úprava</t>
  </si>
  <si>
    <t>H04</t>
  </si>
  <si>
    <t>Rekonstrukce železničního mostu</t>
  </si>
  <si>
    <t>H03</t>
  </si>
  <si>
    <t>Nový železniční most - rozpětí nad 40 m, estakáda</t>
  </si>
  <si>
    <t>H02</t>
  </si>
  <si>
    <t>Nový železniční most - rozpětí do 40 m</t>
  </si>
  <si>
    <t>H01</t>
  </si>
  <si>
    <t>Mosty</t>
  </si>
  <si>
    <t>Mosty, propustky a zdi</t>
  </si>
  <si>
    <t>Individuální kalkulace - Zrušení přejezdu</t>
  </si>
  <si>
    <t>Individuální kalkulace - Přilehlé komunikace</t>
  </si>
  <si>
    <t>Plochy železničních přechodů</t>
  </si>
  <si>
    <t>G04</t>
  </si>
  <si>
    <t>Plochy železničních přejezdů</t>
  </si>
  <si>
    <t>G03</t>
  </si>
  <si>
    <t>Přejezdové konstrukce</t>
  </si>
  <si>
    <t>m hrany</t>
  </si>
  <si>
    <t>Nové nástupiště (nástupištní hrana 550 mm nad TK)</t>
  </si>
  <si>
    <t>G02</t>
  </si>
  <si>
    <t>Demontáž nástupiště</t>
  </si>
  <si>
    <t>G01</t>
  </si>
  <si>
    <t>Konstrukce nástupišť</t>
  </si>
  <si>
    <t>Nástupiště a přejezdové konstrukce</t>
  </si>
  <si>
    <t>Individuální kalkulace - podkladní vrstvy</t>
  </si>
  <si>
    <t xml:space="preserve">Individuální kalkulace - demolice, příprava </t>
  </si>
  <si>
    <t>Sanace skalního zářezu</t>
  </si>
  <si>
    <t>F15</t>
  </si>
  <si>
    <t>Kontaminace, uskladnění</t>
  </si>
  <si>
    <t>F14</t>
  </si>
  <si>
    <t>Rekultivace ploch</t>
  </si>
  <si>
    <t>F13</t>
  </si>
  <si>
    <t>Úprava porostu v okolí tratě</t>
  </si>
  <si>
    <t>F12</t>
  </si>
  <si>
    <t>Příprava území</t>
  </si>
  <si>
    <t>F11</t>
  </si>
  <si>
    <t>Jiné</t>
  </si>
  <si>
    <t>Odvodnění (trativod)</t>
  </si>
  <si>
    <t>F10</t>
  </si>
  <si>
    <t>Odvodnění (příkopové zídky)</t>
  </si>
  <si>
    <t>F09</t>
  </si>
  <si>
    <t>Odvodnění (zpevněný příkop)</t>
  </si>
  <si>
    <t>F08</t>
  </si>
  <si>
    <t>Ozelenění tělesa</t>
  </si>
  <si>
    <t>F07</t>
  </si>
  <si>
    <t>Násypy</t>
  </si>
  <si>
    <t>F06</t>
  </si>
  <si>
    <t>F05</t>
  </si>
  <si>
    <t>Těleso dráhy</t>
  </si>
  <si>
    <t>m koleje</t>
  </si>
  <si>
    <t>Odtěžení starých konstrukčních vrstev</t>
  </si>
  <si>
    <t>F04</t>
  </si>
  <si>
    <t>Konstrukční vrstvy v trati - PJD</t>
  </si>
  <si>
    <t>F03</t>
  </si>
  <si>
    <t>Konstrukční vrstvy v trati</t>
  </si>
  <si>
    <t>F02</t>
  </si>
  <si>
    <t>Konstrukční vrstvy ve stanici</t>
  </si>
  <si>
    <t>F01</t>
  </si>
  <si>
    <t>Konstrukce koleje</t>
  </si>
  <si>
    <t>Individuální kalkulace - následné úpravy GPK</t>
  </si>
  <si>
    <t>Individuální kalkulace - výstroj a značení trati</t>
  </si>
  <si>
    <t>Propracování koleje vč. úpravy GPK</t>
  </si>
  <si>
    <t>E28</t>
  </si>
  <si>
    <t>Regenerace koleje vč. úpravy GPK</t>
  </si>
  <si>
    <t>E27</t>
  </si>
  <si>
    <t>Rekonstrukce železničního svršku</t>
  </si>
  <si>
    <t>E26</t>
  </si>
  <si>
    <t>Úpravy koleje</t>
  </si>
  <si>
    <t>Dvojitá kolejová spojka DKS 49-1:11-300</t>
  </si>
  <si>
    <t>E25</t>
  </si>
  <si>
    <t>Křižovatková výhybka C49-1:11-300</t>
  </si>
  <si>
    <t>E24</t>
  </si>
  <si>
    <t>Jednoduchá výhybka J49-1:7,5-190</t>
  </si>
  <si>
    <t>E23</t>
  </si>
  <si>
    <t>Jednoduchá výhybka J49-1:9-190</t>
  </si>
  <si>
    <t>E22</t>
  </si>
  <si>
    <t>Jednoduchá výhybka J49-1:9-300</t>
  </si>
  <si>
    <t>E21</t>
  </si>
  <si>
    <t>Jednoduchá výhybka J49-1:11-300</t>
  </si>
  <si>
    <t>E20</t>
  </si>
  <si>
    <t>Jednoduchá výhybka J49-1:12-500</t>
  </si>
  <si>
    <t>E19</t>
  </si>
  <si>
    <t>Jednoduchá výhybka J49-1:14-760</t>
  </si>
  <si>
    <t>E18</t>
  </si>
  <si>
    <t>Jednoduchá výhybka J49-1:18,5-1200</t>
  </si>
  <si>
    <t>E17</t>
  </si>
  <si>
    <t>Dvojitá kolejová spojka DKS 60-1:11-300</t>
  </si>
  <si>
    <t>E16</t>
  </si>
  <si>
    <t>Křižovatková výhybka C60-1:11-300</t>
  </si>
  <si>
    <t>E15</t>
  </si>
  <si>
    <t>Jednoduchá výhybka J60-1:7,5-190-I</t>
  </si>
  <si>
    <t>E14</t>
  </si>
  <si>
    <t>Jednoduchá výhybka J60-1:9-190</t>
  </si>
  <si>
    <t>E13</t>
  </si>
  <si>
    <t>Jednoduchá výhybka J60-1:9-300</t>
  </si>
  <si>
    <t>E12</t>
  </si>
  <si>
    <t>Jednoduchá výhybka J60-1:11-300</t>
  </si>
  <si>
    <t>E11</t>
  </si>
  <si>
    <t>Jednoduchá výhybka J60-1:12-500</t>
  </si>
  <si>
    <t>E10</t>
  </si>
  <si>
    <t>Jednoduchá výhybka J60-1:14-760</t>
  </si>
  <si>
    <t>E09</t>
  </si>
  <si>
    <t>Jednoduchá výhybka J60-1:18,5-1200</t>
  </si>
  <si>
    <t>E08</t>
  </si>
  <si>
    <t>Jednoduchá výhybka J60-1:26,5-2500-PHS</t>
  </si>
  <si>
    <t>E07</t>
  </si>
  <si>
    <t>Výhybka</t>
  </si>
  <si>
    <t>Kolej S49, nová, štěrkové lože</t>
  </si>
  <si>
    <t>E06</t>
  </si>
  <si>
    <t>Kolej UIC 60, nová, PJD sjízdná, tunel</t>
  </si>
  <si>
    <t>E05</t>
  </si>
  <si>
    <t>Kolej UIC 60, nová, PJD sjízdná, širá trať</t>
  </si>
  <si>
    <t>E04</t>
  </si>
  <si>
    <t>Kolej UIC 60, nová, štěrkové lože</t>
  </si>
  <si>
    <t>E03</t>
  </si>
  <si>
    <t>Demontáž koleje (dřevěné pražce), výhybky</t>
  </si>
  <si>
    <t>E02</t>
  </si>
  <si>
    <t>Demontáž koleje (betonové pražce)</t>
  </si>
  <si>
    <t>E01</t>
  </si>
  <si>
    <t>Kolej</t>
  </si>
  <si>
    <t>Výtahy</t>
  </si>
  <si>
    <t>D03</t>
  </si>
  <si>
    <t>Eskalátory</t>
  </si>
  <si>
    <t>D02</t>
  </si>
  <si>
    <t>Základní technologické vybavení budov (EPS, EZS, MAR, SHZ atd.)</t>
  </si>
  <si>
    <t>D01</t>
  </si>
  <si>
    <t>Vybavení budov                       a nástupišť</t>
  </si>
  <si>
    <t>Rezervní řádek - Technologie transformačních stanic VN a NN (energetika)</t>
  </si>
  <si>
    <t>Úprava stávající technologie trafostanic (individuální kalkulace)</t>
  </si>
  <si>
    <t>C10</t>
  </si>
  <si>
    <t>Trafostanice - technologie stanice</t>
  </si>
  <si>
    <t>C09</t>
  </si>
  <si>
    <t>Trafostanice - technologie tunelů</t>
  </si>
  <si>
    <t>C08</t>
  </si>
  <si>
    <t>Technologie rozvodny 110 kV</t>
  </si>
  <si>
    <t>C07</t>
  </si>
  <si>
    <t>Technologie trafostanice 22 kV</t>
  </si>
  <si>
    <t>C06</t>
  </si>
  <si>
    <t>Trafostanice</t>
  </si>
  <si>
    <t>Úprava stávající technologie SpS (individuální kalkulace)</t>
  </si>
  <si>
    <t>Technologie spínací stanice</t>
  </si>
  <si>
    <t>C04</t>
  </si>
  <si>
    <t>Úprava stávající technologie TNS, TM (individuální kalkulace)</t>
  </si>
  <si>
    <t>Technologie trakční transformovny</t>
  </si>
  <si>
    <t>C02</t>
  </si>
  <si>
    <t>Technologie trakční měnírny</t>
  </si>
  <si>
    <t>C01</t>
  </si>
  <si>
    <t>Trakční napájecí stanice</t>
  </si>
  <si>
    <t>Silnoproudá technologie</t>
  </si>
  <si>
    <t>Individuální kalkulace - Centrální části, uvedení do provozu</t>
  </si>
  <si>
    <t>Individuální kalkulace - Přenosový systém a datová síť</t>
  </si>
  <si>
    <t>Rezervní řádek - Místní kabelizace, úprava, provizorní odbočky</t>
  </si>
  <si>
    <t>Rezervní řádek - DŘT</t>
  </si>
  <si>
    <t>Přeložka závěsného optického kabelu (kabel ČDT)</t>
  </si>
  <si>
    <t>B11</t>
  </si>
  <si>
    <t>Traťový sdělovací kabel</t>
  </si>
  <si>
    <t>B10</t>
  </si>
  <si>
    <t xml:space="preserve">Sdělovací zařízení v tunelu </t>
  </si>
  <si>
    <t>B09</t>
  </si>
  <si>
    <t>Sdělovací zařízení v trati (GSM-R)</t>
  </si>
  <si>
    <t>B08</t>
  </si>
  <si>
    <t>Sdělovací zařízení v trati (TRS,...)</t>
  </si>
  <si>
    <t>B07</t>
  </si>
  <si>
    <t>Tratě</t>
  </si>
  <si>
    <t>ks nástupiště</t>
  </si>
  <si>
    <t>Sdělovací informační zařízení v zastávce</t>
  </si>
  <si>
    <t>B06</t>
  </si>
  <si>
    <t>Sdělovací informační zařízení ve stanici</t>
  </si>
  <si>
    <t>B05</t>
  </si>
  <si>
    <t>Sdělovací zařízení v zastávce</t>
  </si>
  <si>
    <t>B04</t>
  </si>
  <si>
    <t>Sdělovací zařízení ve stanici - mezilehlé stanice</t>
  </si>
  <si>
    <t>B03</t>
  </si>
  <si>
    <t>Sdělovací zařízení ve stanici - uzlové stanice</t>
  </si>
  <si>
    <t>B02</t>
  </si>
  <si>
    <t>Místní radiový systém</t>
  </si>
  <si>
    <t>B01</t>
  </si>
  <si>
    <t>Stanice a zastávky</t>
  </si>
  <si>
    <t>Individuální kalkulace - traťové stavědlo</t>
  </si>
  <si>
    <t>Individuální kalkulace - Indikátory horkoběžnosti a indikátory plochých kol</t>
  </si>
  <si>
    <t>ETCS</t>
  </si>
  <si>
    <t>A12</t>
  </si>
  <si>
    <t>DOZ</t>
  </si>
  <si>
    <t>A11</t>
  </si>
  <si>
    <t>Nadstavba</t>
  </si>
  <si>
    <t>PZZ - dvoukolejná trať</t>
  </si>
  <si>
    <t>A10</t>
  </si>
  <si>
    <t>PZZ - jednokolejná trať</t>
  </si>
  <si>
    <t>A09</t>
  </si>
  <si>
    <t>Přejezdové</t>
  </si>
  <si>
    <t>TZZ - dvoukolejná trať</t>
  </si>
  <si>
    <t>A08</t>
  </si>
  <si>
    <t>TZZ - jednokolejná trať</t>
  </si>
  <si>
    <t>A07</t>
  </si>
  <si>
    <t>Traťové</t>
  </si>
  <si>
    <t>Provizorní SZZ</t>
  </si>
  <si>
    <t>A06</t>
  </si>
  <si>
    <t>SZZ nad 50 ks výhybkových jednotek</t>
  </si>
  <si>
    <t>A05</t>
  </si>
  <si>
    <t>SZZ od 26 do 50 ks výhybkových jednotek</t>
  </si>
  <si>
    <t>A04</t>
  </si>
  <si>
    <t>SZZ od 16 do 25 ks výhybkových jednotek</t>
  </si>
  <si>
    <t>A03</t>
  </si>
  <si>
    <t>SZZ od 10 do 15 ks výhybkových jednotek</t>
  </si>
  <si>
    <t>A02</t>
  </si>
  <si>
    <t>SZZ do 9 ks výhybkových jednotek</t>
  </si>
  <si>
    <t>A01</t>
  </si>
  <si>
    <t>Staniční</t>
  </si>
  <si>
    <t>R</t>
  </si>
  <si>
    <t>K</t>
  </si>
  <si>
    <t>m.j.</t>
  </si>
  <si>
    <t>3,359
3,867</t>
  </si>
  <si>
    <t>Sazba v CU2021 (mil.Kč/m.j)</t>
  </si>
  <si>
    <t>m.j</t>
  </si>
  <si>
    <t>Položka</t>
  </si>
  <si>
    <t>Č.řádku</t>
  </si>
  <si>
    <t>Podskupina</t>
  </si>
  <si>
    <t>Profese</t>
  </si>
  <si>
    <t>do</t>
  </si>
  <si>
    <t>do km</t>
  </si>
  <si>
    <t>8.11.2021</t>
  </si>
  <si>
    <t>od</t>
  </si>
  <si>
    <t>Charakter rizik</t>
  </si>
  <si>
    <t>Staničení</t>
  </si>
  <si>
    <t>od km</t>
  </si>
  <si>
    <t>Pozn.:</t>
  </si>
  <si>
    <t>Datum</t>
  </si>
  <si>
    <t>Zpracoval</t>
  </si>
  <si>
    <t>SOUHRN</t>
  </si>
  <si>
    <t>Investiční podúsek 1e</t>
  </si>
  <si>
    <t>Investiční podúsek 1d</t>
  </si>
  <si>
    <t>Investiční podúsek 1c</t>
  </si>
  <si>
    <t>Investiční podúsek 1b</t>
  </si>
  <si>
    <t>Investiční podúsek 1a</t>
  </si>
  <si>
    <t>Investiční podúsek 4e</t>
  </si>
  <si>
    <t>Investiční podúsek 4d</t>
  </si>
  <si>
    <t>Investiční podúsek 4c</t>
  </si>
  <si>
    <t>Investiční podúsek 4b</t>
  </si>
  <si>
    <t>Investiční podúsek 4a</t>
  </si>
  <si>
    <t>Investiční podúsek 3e</t>
  </si>
  <si>
    <t>Investiční podúsek 3d</t>
  </si>
  <si>
    <t>62 Opatovice nad Labem-Pohřebačka - Plačice</t>
  </si>
  <si>
    <t>61 ŽST Chlumec nad Cidlinou</t>
  </si>
  <si>
    <t>60 Káranice - Chlumec nad Cidlinou</t>
  </si>
  <si>
    <t>59 ŽST Káranice</t>
  </si>
  <si>
    <t xml:space="preserve">58 Dobřenice - Káranice </t>
  </si>
  <si>
    <t>57 ŽST Dobřenice</t>
  </si>
  <si>
    <t>56 Praskačka - Dobřenice</t>
  </si>
  <si>
    <t>55 ŽST Praskačka</t>
  </si>
  <si>
    <t>54 Plačice - Praskačka</t>
  </si>
  <si>
    <t>53 Odbočka Plačice</t>
  </si>
  <si>
    <t>52 Hradec Králové hl. n. - Plačice</t>
  </si>
  <si>
    <t>51 Hradec Králové hl. n. - Plačice</t>
  </si>
  <si>
    <t>50 Hradec Králové - Chlumec nad Cidlinou (přes více úseků nebo mimo úseky)</t>
  </si>
  <si>
    <t>název</t>
  </si>
  <si>
    <t>CELKEM VÝMĚRA</t>
  </si>
  <si>
    <t>CELKEM VČETNĚ RIZIKOVÉ SLOŽKY</t>
  </si>
  <si>
    <t>CELKEM BEZ RIZIKOVÉ SLOŽKY</t>
  </si>
  <si>
    <t>Databáze rizik</t>
  </si>
  <si>
    <t>Investiční           úsek</t>
  </si>
  <si>
    <t>-</t>
  </si>
  <si>
    <t>Modernizace traťového úseku Chlumec nad Cidlinou (mimo) – Hradec Králové (mimo)</t>
  </si>
  <si>
    <t>Investiční úsek</t>
  </si>
  <si>
    <t>Název akce</t>
  </si>
  <si>
    <t>Cenová úroveň</t>
  </si>
  <si>
    <t>Varianta</t>
  </si>
  <si>
    <t>Inflační koeficient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</si>
</sst>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0"/>
    <numFmt numFmtId="165" formatCode="0.0,%"/>
    <numFmt numFmtId="166" formatCode="0.0%"/>
    <numFmt numFmtId="167" formatCode="0.000"/>
    <numFmt numFmtId="168" formatCode="#,##0.000000"/>
    <numFmt numFmtId="169" formatCode="0.000%"/>
    <numFmt numFmtId="170" formatCode="0.0"/>
  </numFmts>
  <fonts count="16" x14ac:knownFonts="1">
    <font>
      <sz val="10"/>
      <color theme="1"/>
      <name val="Verdana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10"/>
      <color rgb="FF00B0F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557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2" fillId="0" borderId="0" xfId="1" applyFont="1" applyAlignment="1">
      <alignment horizontal="center"/>
    </xf>
    <xf numFmtId="0" fontId="2" fillId="0" borderId="0" xfId="1" applyFont="1" applyBorder="1"/>
    <xf numFmtId="164" fontId="2" fillId="0" borderId="0" xfId="1" applyNumberFormat="1" applyFont="1" applyBorder="1"/>
    <xf numFmtId="0" fontId="2" fillId="0" borderId="0" xfId="1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3" fillId="2" borderId="0" xfId="1" applyFont="1" applyFill="1" applyAlignment="1">
      <alignment vertical="center"/>
    </xf>
    <xf numFmtId="0" fontId="2" fillId="0" borderId="0" xfId="1" applyFont="1" applyAlignment="1">
      <alignment horizontal="left" vertical="center"/>
    </xf>
    <xf numFmtId="164" fontId="2" fillId="0" borderId="0" xfId="1" applyNumberFormat="1" applyFont="1" applyAlignment="1">
      <alignment horizontal="left" vertical="center"/>
    </xf>
    <xf numFmtId="164" fontId="2" fillId="3" borderId="1" xfId="1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right" vertical="center"/>
    </xf>
    <xf numFmtId="164" fontId="2" fillId="3" borderId="2" xfId="1" applyNumberFormat="1" applyFont="1" applyFill="1" applyBorder="1" applyAlignment="1">
      <alignment horizontal="right" vertical="center"/>
    </xf>
    <xf numFmtId="165" fontId="2" fillId="3" borderId="3" xfId="1" applyNumberFormat="1" applyFont="1" applyFill="1" applyBorder="1" applyAlignment="1">
      <alignment horizontal="right" vertical="center"/>
    </xf>
    <xf numFmtId="164" fontId="2" fillId="3" borderId="3" xfId="1" applyNumberFormat="1" applyFont="1" applyFill="1" applyBorder="1" applyAlignment="1">
      <alignment horizontal="right" vertical="center"/>
    </xf>
    <xf numFmtId="0" fontId="2" fillId="3" borderId="3" xfId="1" applyFont="1" applyFill="1" applyBorder="1" applyAlignment="1">
      <alignment vertical="center"/>
    </xf>
    <xf numFmtId="0" fontId="2" fillId="3" borderId="4" xfId="1" applyFont="1" applyFill="1" applyBorder="1" applyAlignment="1">
      <alignment vertical="center"/>
    </xf>
    <xf numFmtId="164" fontId="2" fillId="3" borderId="3" xfId="1" applyNumberFormat="1" applyFont="1" applyFill="1" applyBorder="1" applyAlignment="1">
      <alignment vertical="center"/>
    </xf>
    <xf numFmtId="164" fontId="2" fillId="3" borderId="4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/>
    </xf>
    <xf numFmtId="0" fontId="2" fillId="3" borderId="5" xfId="1" applyFont="1" applyFill="1" applyBorder="1" applyAlignment="1">
      <alignment horizontal="left" vertical="center"/>
    </xf>
    <xf numFmtId="0" fontId="2" fillId="3" borderId="5" xfId="1" applyFont="1" applyFill="1" applyBorder="1"/>
    <xf numFmtId="0" fontId="2" fillId="3" borderId="6" xfId="1" applyFont="1" applyFill="1" applyBorder="1"/>
    <xf numFmtId="164" fontId="2" fillId="4" borderId="7" xfId="1" applyNumberFormat="1" applyFont="1" applyFill="1" applyBorder="1" applyAlignment="1">
      <alignment horizontal="right" vertical="center"/>
    </xf>
    <xf numFmtId="164" fontId="2" fillId="4" borderId="8" xfId="1" applyNumberFormat="1" applyFont="1" applyFill="1" applyBorder="1" applyAlignment="1">
      <alignment horizontal="right" vertical="center"/>
    </xf>
    <xf numFmtId="165" fontId="2" fillId="4" borderId="9" xfId="1" applyNumberFormat="1" applyFont="1" applyFill="1" applyBorder="1" applyAlignment="1">
      <alignment horizontal="right" vertical="center"/>
    </xf>
    <xf numFmtId="166" fontId="2" fillId="4" borderId="10" xfId="1" applyNumberFormat="1" applyFont="1" applyFill="1" applyBorder="1" applyAlignment="1">
      <alignment horizontal="right" vertical="center"/>
    </xf>
    <xf numFmtId="166" fontId="2" fillId="4" borderId="11" xfId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164" fontId="2" fillId="4" borderId="10" xfId="1" applyNumberFormat="1" applyFont="1" applyFill="1" applyBorder="1" applyAlignment="1">
      <alignment horizontal="right" vertical="center"/>
    </xf>
    <xf numFmtId="164" fontId="2" fillId="0" borderId="13" xfId="1" applyNumberFormat="1" applyFont="1" applyBorder="1" applyAlignment="1">
      <alignment vertical="center"/>
    </xf>
    <xf numFmtId="164" fontId="2" fillId="0" borderId="0" xfId="1" applyNumberFormat="1" applyFont="1" applyBorder="1" applyAlignment="1">
      <alignment vertical="center"/>
    </xf>
    <xf numFmtId="164" fontId="2" fillId="0" borderId="12" xfId="1" applyNumberFormat="1" applyFont="1" applyBorder="1" applyAlignment="1">
      <alignment vertical="center"/>
    </xf>
    <xf numFmtId="0" fontId="2" fillId="0" borderId="13" xfId="1" applyFont="1" applyFill="1" applyBorder="1" applyAlignment="1">
      <alignment vertical="center"/>
    </xf>
    <xf numFmtId="0" fontId="4" fillId="4" borderId="14" xfId="1" applyFont="1" applyFill="1" applyBorder="1" applyAlignment="1">
      <alignment horizontal="center" vertical="center"/>
    </xf>
    <xf numFmtId="0" fontId="2" fillId="4" borderId="15" xfId="1" applyFont="1" applyFill="1" applyBorder="1" applyAlignment="1">
      <alignment horizontal="left" vertical="center"/>
    </xf>
    <xf numFmtId="0" fontId="2" fillId="4" borderId="15" xfId="1" applyFont="1" applyFill="1" applyBorder="1" applyAlignment="1">
      <alignment horizontal="center" vertical="center"/>
    </xf>
    <xf numFmtId="0" fontId="4" fillId="4" borderId="15" xfId="1" applyFont="1" applyFill="1" applyBorder="1" applyAlignment="1">
      <alignment horizontal="left" vertical="center"/>
    </xf>
    <xf numFmtId="0" fontId="4" fillId="4" borderId="16" xfId="1" applyFont="1" applyFill="1" applyBorder="1" applyAlignment="1">
      <alignment horizontal="left" vertical="center"/>
    </xf>
    <xf numFmtId="164" fontId="2" fillId="4" borderId="17" xfId="1" applyNumberFormat="1" applyFont="1" applyFill="1" applyBorder="1" applyAlignment="1">
      <alignment vertical="center"/>
    </xf>
    <xf numFmtId="164" fontId="2" fillId="4" borderId="18" xfId="1" applyNumberFormat="1" applyFont="1" applyFill="1" applyBorder="1" applyAlignment="1">
      <alignment vertical="center"/>
    </xf>
    <xf numFmtId="164" fontId="2" fillId="4" borderId="19" xfId="1" applyNumberFormat="1" applyFont="1" applyFill="1" applyBorder="1" applyAlignment="1">
      <alignment vertical="center"/>
    </xf>
    <xf numFmtId="1" fontId="2" fillId="4" borderId="20" xfId="1" applyNumberFormat="1" applyFont="1" applyFill="1" applyBorder="1" applyAlignment="1">
      <alignment horizontal="right" vertical="center"/>
    </xf>
    <xf numFmtId="166" fontId="2" fillId="4" borderId="21" xfId="1" applyNumberFormat="1" applyFont="1" applyFill="1" applyBorder="1" applyAlignment="1">
      <alignment horizontal="right" vertical="center"/>
    </xf>
    <xf numFmtId="164" fontId="2" fillId="0" borderId="19" xfId="1" applyNumberFormat="1" applyFont="1" applyFill="1" applyBorder="1" applyAlignment="1">
      <alignment horizontal="right" vertical="center"/>
    </xf>
    <xf numFmtId="165" fontId="2" fillId="4" borderId="20" xfId="1" applyNumberFormat="1" applyFont="1" applyFill="1" applyBorder="1" applyAlignment="1">
      <alignment horizontal="right" vertical="center"/>
    </xf>
    <xf numFmtId="166" fontId="2" fillId="4" borderId="22" xfId="1" applyNumberFormat="1" applyFont="1" applyFill="1" applyBorder="1" applyAlignment="1">
      <alignment horizontal="right" vertical="center"/>
    </xf>
    <xf numFmtId="164" fontId="2" fillId="4" borderId="21" xfId="1" applyNumberFormat="1" applyFont="1" applyFill="1" applyBorder="1" applyAlignment="1">
      <alignment horizontal="right" vertical="center"/>
    </xf>
    <xf numFmtId="164" fontId="2" fillId="0" borderId="23" xfId="1" applyNumberFormat="1" applyFont="1" applyBorder="1" applyAlignment="1">
      <alignment vertical="center"/>
    </xf>
    <xf numFmtId="0" fontId="5" fillId="0" borderId="23" xfId="1" applyFont="1" applyFill="1" applyBorder="1" applyAlignment="1">
      <alignment vertical="center"/>
    </xf>
    <xf numFmtId="0" fontId="4" fillId="4" borderId="19" xfId="1" applyFont="1" applyFill="1" applyBorder="1" applyAlignment="1">
      <alignment horizontal="center" vertical="center"/>
    </xf>
    <xf numFmtId="0" fontId="5" fillId="4" borderId="24" xfId="1" applyFont="1" applyFill="1" applyBorder="1" applyAlignment="1">
      <alignment horizontal="left" vertical="center"/>
    </xf>
    <xf numFmtId="0" fontId="5" fillId="4" borderId="24" xfId="1" applyFont="1" applyFill="1" applyBorder="1" applyAlignment="1">
      <alignment horizontal="center" vertical="center"/>
    </xf>
    <xf numFmtId="0" fontId="4" fillId="4" borderId="24" xfId="1" applyFont="1" applyFill="1" applyBorder="1" applyAlignment="1">
      <alignment horizontal="left" vertical="center"/>
    </xf>
    <xf numFmtId="0" fontId="4" fillId="4" borderId="25" xfId="1" applyFont="1" applyFill="1" applyBorder="1" applyAlignment="1">
      <alignment horizontal="left" vertical="center"/>
    </xf>
    <xf numFmtId="164" fontId="2" fillId="3" borderId="26" xfId="1" applyNumberFormat="1" applyFont="1" applyFill="1" applyBorder="1" applyAlignment="1">
      <alignment horizontal="right" vertical="center"/>
    </xf>
    <xf numFmtId="164" fontId="2" fillId="3" borderId="2" xfId="1" applyNumberFormat="1" applyFont="1" applyFill="1" applyBorder="1" applyAlignment="1">
      <alignment vertical="center"/>
    </xf>
    <xf numFmtId="0" fontId="2" fillId="3" borderId="27" xfId="1" applyFont="1" applyFill="1" applyBorder="1" applyAlignment="1">
      <alignment vertical="center"/>
    </xf>
    <xf numFmtId="164" fontId="2" fillId="4" borderId="7" xfId="1" applyNumberFormat="1" applyFont="1" applyFill="1" applyBorder="1" applyAlignment="1">
      <alignment vertical="center"/>
    </xf>
    <xf numFmtId="164" fontId="2" fillId="4" borderId="28" xfId="1" applyNumberFormat="1" applyFont="1" applyFill="1" applyBorder="1" applyAlignment="1">
      <alignment vertical="center"/>
    </xf>
    <xf numFmtId="165" fontId="2" fillId="4" borderId="29" xfId="1" applyNumberFormat="1" applyFont="1" applyFill="1" applyBorder="1" applyAlignment="1">
      <alignment horizontal="right" vertical="center"/>
    </xf>
    <xf numFmtId="166" fontId="2" fillId="4" borderId="30" xfId="1" applyNumberFormat="1" applyFont="1" applyFill="1" applyBorder="1" applyAlignment="1">
      <alignment horizontal="right" vertical="center"/>
    </xf>
    <xf numFmtId="166" fontId="2" fillId="4" borderId="31" xfId="1" applyNumberFormat="1" applyFont="1" applyFill="1" applyBorder="1" applyAlignment="1">
      <alignment horizontal="right" vertical="center"/>
    </xf>
    <xf numFmtId="164" fontId="2" fillId="4" borderId="30" xfId="1" applyNumberFormat="1" applyFont="1" applyFill="1" applyBorder="1" applyAlignment="1">
      <alignment horizontal="right" vertical="center"/>
    </xf>
    <xf numFmtId="0" fontId="2" fillId="0" borderId="23" xfId="1" applyFont="1" applyBorder="1" applyAlignment="1">
      <alignment vertical="center"/>
    </xf>
    <xf numFmtId="0" fontId="2" fillId="5" borderId="32" xfId="1" applyFont="1" applyFill="1" applyBorder="1" applyAlignment="1">
      <alignment horizontal="center"/>
    </xf>
    <xf numFmtId="0" fontId="2" fillId="5" borderId="29" xfId="1" applyFont="1" applyFill="1" applyBorder="1"/>
    <xf numFmtId="0" fontId="2" fillId="5" borderId="29" xfId="1" applyFont="1" applyFill="1" applyBorder="1" applyAlignment="1">
      <alignment horizontal="center" vertical="center"/>
    </xf>
    <xf numFmtId="0" fontId="2" fillId="5" borderId="20" xfId="1" applyFont="1" applyFill="1" applyBorder="1" applyAlignment="1">
      <alignment horizontal="center" vertical="center" wrapText="1"/>
    </xf>
    <xf numFmtId="0" fontId="2" fillId="6" borderId="31" xfId="1" applyFont="1" applyFill="1" applyBorder="1" applyAlignment="1">
      <alignment horizontal="center" vertical="center" wrapText="1"/>
    </xf>
    <xf numFmtId="0" fontId="2" fillId="5" borderId="33" xfId="1" applyFont="1" applyFill="1" applyBorder="1" applyAlignment="1">
      <alignment horizontal="center" vertical="center" wrapText="1"/>
    </xf>
    <xf numFmtId="0" fontId="2" fillId="5" borderId="34" xfId="1" applyFont="1" applyFill="1" applyBorder="1" applyAlignment="1">
      <alignment horizontal="center" vertical="center" wrapText="1"/>
    </xf>
    <xf numFmtId="0" fontId="2" fillId="7" borderId="32" xfId="1" applyFont="1" applyFill="1" applyBorder="1" applyAlignment="1">
      <alignment horizontal="center"/>
    </xf>
    <xf numFmtId="0" fontId="2" fillId="7" borderId="29" xfId="1" applyFont="1" applyFill="1" applyBorder="1"/>
    <xf numFmtId="0" fontId="2" fillId="7" borderId="29" xfId="1" applyFont="1" applyFill="1" applyBorder="1" applyAlignment="1">
      <alignment horizontal="center" vertical="center"/>
    </xf>
    <xf numFmtId="0" fontId="2" fillId="7" borderId="20" xfId="1" applyFont="1" applyFill="1" applyBorder="1" applyAlignment="1">
      <alignment horizontal="center" vertical="center" wrapText="1"/>
    </xf>
    <xf numFmtId="0" fontId="2" fillId="7" borderId="33" xfId="1" applyFont="1" applyFill="1" applyBorder="1" applyAlignment="1">
      <alignment horizontal="center" vertical="center" wrapText="1"/>
    </xf>
    <xf numFmtId="164" fontId="2" fillId="4" borderId="35" xfId="1" applyNumberFormat="1" applyFont="1" applyFill="1" applyBorder="1" applyAlignment="1">
      <alignment vertical="center"/>
    </xf>
    <xf numFmtId="164" fontId="2" fillId="4" borderId="36" xfId="1" applyNumberFormat="1" applyFont="1" applyFill="1" applyBorder="1" applyAlignment="1">
      <alignment vertical="center"/>
    </xf>
    <xf numFmtId="164" fontId="2" fillId="4" borderId="37" xfId="1" applyNumberFormat="1" applyFont="1" applyFill="1" applyBorder="1" applyAlignment="1">
      <alignment vertical="center"/>
    </xf>
    <xf numFmtId="0" fontId="2" fillId="0" borderId="38" xfId="1" applyFont="1" applyBorder="1" applyAlignment="1">
      <alignment vertical="center"/>
    </xf>
    <xf numFmtId="0" fontId="2" fillId="7" borderId="39" xfId="1" applyFont="1" applyFill="1" applyBorder="1" applyAlignment="1">
      <alignment horizontal="center"/>
    </xf>
    <xf numFmtId="0" fontId="2" fillId="7" borderId="24" xfId="1" applyFont="1" applyFill="1" applyBorder="1" applyAlignment="1">
      <alignment vertical="center"/>
    </xf>
    <xf numFmtId="0" fontId="2" fillId="7" borderId="24" xfId="1" applyFont="1" applyFill="1" applyBorder="1" applyAlignment="1">
      <alignment horizontal="center" vertical="center"/>
    </xf>
    <xf numFmtId="0" fontId="2" fillId="7" borderId="40" xfId="1" applyFont="1" applyFill="1" applyBorder="1" applyAlignment="1">
      <alignment horizontal="center" vertical="center" wrapText="1"/>
    </xf>
    <xf numFmtId="0" fontId="2" fillId="6" borderId="25" xfId="1" applyFont="1" applyFill="1" applyBorder="1" applyAlignment="1">
      <alignment horizontal="center" vertical="center" wrapText="1"/>
    </xf>
    <xf numFmtId="164" fontId="4" fillId="6" borderId="26" xfId="1" applyNumberFormat="1" applyFont="1" applyFill="1" applyBorder="1" applyAlignment="1">
      <alignment vertical="center"/>
    </xf>
    <xf numFmtId="164" fontId="4" fillId="6" borderId="27" xfId="1" applyNumberFormat="1" applyFont="1" applyFill="1" applyBorder="1" applyAlignment="1">
      <alignment vertical="center"/>
    </xf>
    <xf numFmtId="165" fontId="2" fillId="6" borderId="5" xfId="1" applyNumberFormat="1" applyFont="1" applyFill="1" applyBorder="1" applyAlignment="1">
      <alignment horizontal="right" vertical="center"/>
    </xf>
    <xf numFmtId="166" fontId="2" fillId="6" borderId="41" xfId="1" applyNumberFormat="1" applyFont="1" applyFill="1" applyBorder="1" applyAlignment="1">
      <alignment horizontal="right" vertical="center"/>
    </xf>
    <xf numFmtId="166" fontId="2" fillId="6" borderId="6" xfId="1" applyNumberFormat="1" applyFont="1" applyFill="1" applyBorder="1" applyAlignment="1">
      <alignment horizontal="right" vertical="center"/>
    </xf>
    <xf numFmtId="0" fontId="2" fillId="4" borderId="0" xfId="1" applyFont="1" applyFill="1" applyBorder="1" applyAlignment="1">
      <alignment vertical="center"/>
    </xf>
    <xf numFmtId="0" fontId="2" fillId="4" borderId="12" xfId="1" applyFont="1" applyFill="1" applyBorder="1" applyAlignment="1">
      <alignment vertical="center"/>
    </xf>
    <xf numFmtId="164" fontId="2" fillId="6" borderId="41" xfId="1" applyNumberFormat="1" applyFont="1" applyFill="1" applyBorder="1" applyAlignment="1">
      <alignment horizontal="right" vertical="center"/>
    </xf>
    <xf numFmtId="164" fontId="2" fillId="4" borderId="23" xfId="1" applyNumberFormat="1" applyFont="1" applyFill="1" applyBorder="1" applyAlignment="1">
      <alignment vertical="center"/>
    </xf>
    <xf numFmtId="164" fontId="2" fillId="4" borderId="0" xfId="1" applyNumberFormat="1" applyFont="1" applyFill="1" applyBorder="1" applyAlignment="1">
      <alignment vertical="center"/>
    </xf>
    <xf numFmtId="164" fontId="2" fillId="4" borderId="12" xfId="1" applyNumberFormat="1" applyFont="1" applyFill="1" applyBorder="1" applyAlignment="1">
      <alignment vertical="center"/>
    </xf>
    <xf numFmtId="0" fontId="2" fillId="4" borderId="13" xfId="1" applyFont="1" applyFill="1" applyBorder="1" applyAlignment="1">
      <alignment vertical="center"/>
    </xf>
    <xf numFmtId="0" fontId="4" fillId="6" borderId="15" xfId="1" applyFont="1" applyFill="1" applyBorder="1" applyAlignment="1">
      <alignment horizontal="center" vertical="center"/>
    </xf>
    <xf numFmtId="0" fontId="4" fillId="6" borderId="15" xfId="1" applyFont="1" applyFill="1" applyBorder="1" applyAlignment="1">
      <alignment vertical="center"/>
    </xf>
    <xf numFmtId="0" fontId="2" fillId="6" borderId="42" xfId="1" applyFont="1" applyFill="1" applyBorder="1" applyAlignment="1">
      <alignment horizontal="center"/>
    </xf>
    <xf numFmtId="0" fontId="2" fillId="6" borderId="15" xfId="1" applyFont="1" applyFill="1" applyBorder="1" applyAlignment="1">
      <alignment horizontal="center" vertical="center" wrapText="1"/>
    </xf>
    <xf numFmtId="0" fontId="2" fillId="6" borderId="16" xfId="1" applyFont="1" applyFill="1" applyBorder="1" applyAlignment="1">
      <alignment horizontal="left" vertical="center" wrapText="1"/>
    </xf>
    <xf numFmtId="2" fontId="2" fillId="4" borderId="34" xfId="1" applyNumberFormat="1" applyFont="1" applyFill="1" applyBorder="1" applyAlignment="1">
      <alignment horizontal="center" vertical="center"/>
    </xf>
    <xf numFmtId="0" fontId="2" fillId="4" borderId="43" xfId="1" applyFont="1" applyFill="1" applyBorder="1" applyAlignment="1">
      <alignment vertical="center"/>
    </xf>
    <xf numFmtId="2" fontId="2" fillId="0" borderId="34" xfId="1" applyNumberFormat="1" applyFont="1" applyFill="1" applyBorder="1" applyAlignment="1">
      <alignment horizontal="center" vertical="center"/>
    </xf>
    <xf numFmtId="0" fontId="1" fillId="4" borderId="23" xfId="1" applyFill="1" applyBorder="1" applyAlignment="1">
      <alignment vertical="center"/>
    </xf>
    <xf numFmtId="0" fontId="2" fillId="4" borderId="9" xfId="1" applyFont="1" applyFill="1" applyBorder="1" applyAlignment="1">
      <alignment horizontal="center"/>
    </xf>
    <xf numFmtId="0" fontId="2" fillId="4" borderId="15" xfId="1" applyFont="1" applyFill="1" applyBorder="1" applyAlignment="1"/>
    <xf numFmtId="0" fontId="2" fillId="4" borderId="5" xfId="1" applyFont="1" applyFill="1" applyBorder="1" applyAlignment="1">
      <alignment horizontal="center"/>
    </xf>
    <xf numFmtId="0" fontId="2" fillId="6" borderId="33" xfId="1" applyFont="1" applyFill="1" applyBorder="1" applyAlignment="1">
      <alignment horizontal="center" vertical="center" wrapText="1"/>
    </xf>
    <xf numFmtId="0" fontId="2" fillId="6" borderId="44" xfId="1" applyFont="1" applyFill="1" applyBorder="1" applyAlignment="1">
      <alignment horizontal="left" vertical="center" wrapText="1"/>
    </xf>
    <xf numFmtId="164" fontId="2" fillId="4" borderId="8" xfId="1" applyNumberFormat="1" applyFont="1" applyFill="1" applyBorder="1" applyAlignment="1">
      <alignment vertical="center"/>
    </xf>
    <xf numFmtId="0" fontId="2" fillId="4" borderId="23" xfId="1" applyFont="1" applyFill="1" applyBorder="1" applyAlignment="1">
      <alignment vertical="center"/>
    </xf>
    <xf numFmtId="0" fontId="2" fillId="4" borderId="9" xfId="1" applyFont="1" applyFill="1" applyBorder="1" applyAlignment="1"/>
    <xf numFmtId="0" fontId="2" fillId="4" borderId="45" xfId="1" applyFont="1" applyFill="1" applyBorder="1" applyAlignment="1">
      <alignment horizontal="center"/>
    </xf>
    <xf numFmtId="0" fontId="2" fillId="4" borderId="20" xfId="1" applyFont="1" applyFill="1" applyBorder="1" applyAlignment="1">
      <alignment horizontal="center"/>
    </xf>
    <xf numFmtId="0" fontId="2" fillId="4" borderId="29" xfId="1" applyFont="1" applyFill="1" applyBorder="1" applyAlignment="1"/>
    <xf numFmtId="0" fontId="2" fillId="4" borderId="46" xfId="1" applyFont="1" applyFill="1" applyBorder="1" applyAlignment="1">
      <alignment horizontal="center"/>
    </xf>
    <xf numFmtId="0" fontId="2" fillId="4" borderId="20" xfId="1" applyFont="1" applyFill="1" applyBorder="1" applyAlignment="1"/>
    <xf numFmtId="0" fontId="2" fillId="4" borderId="47" xfId="1" applyFont="1" applyFill="1" applyBorder="1" applyAlignment="1">
      <alignment horizontal="center"/>
    </xf>
    <xf numFmtId="0" fontId="6" fillId="0" borderId="0" xfId="1" applyFont="1"/>
    <xf numFmtId="165" fontId="2" fillId="4" borderId="34" xfId="1" applyNumberFormat="1" applyFont="1" applyFill="1" applyBorder="1" applyAlignment="1">
      <alignment horizontal="right" vertical="center"/>
    </xf>
    <xf numFmtId="166" fontId="2" fillId="4" borderId="43" xfId="1" applyNumberFormat="1" applyFont="1" applyFill="1" applyBorder="1" applyAlignment="1">
      <alignment horizontal="right" vertical="center"/>
    </xf>
    <xf numFmtId="166" fontId="2" fillId="4" borderId="48" xfId="1" applyNumberFormat="1" applyFont="1" applyFill="1" applyBorder="1" applyAlignment="1">
      <alignment horizontal="right" vertical="center"/>
    </xf>
    <xf numFmtId="164" fontId="2" fillId="4" borderId="43" xfId="1" applyNumberFormat="1" applyFont="1" applyFill="1" applyBorder="1" applyAlignment="1">
      <alignment horizontal="right" vertical="center"/>
    </xf>
    <xf numFmtId="0" fontId="2" fillId="4" borderId="15" xfId="1" applyFont="1" applyFill="1" applyBorder="1" applyAlignment="1">
      <alignment horizontal="center" vertical="center" wrapText="1"/>
    </xf>
    <xf numFmtId="0" fontId="2" fillId="4" borderId="29" xfId="1" applyFont="1" applyFill="1" applyBorder="1" applyAlignment="1">
      <alignment horizontal="center"/>
    </xf>
    <xf numFmtId="0" fontId="2" fillId="4" borderId="33" xfId="1" applyFont="1" applyFill="1" applyBorder="1" applyAlignment="1">
      <alignment horizontal="center" vertical="center" wrapText="1"/>
    </xf>
    <xf numFmtId="166" fontId="2" fillId="4" borderId="25" xfId="1" applyNumberFormat="1" applyFont="1" applyFill="1" applyBorder="1" applyAlignment="1">
      <alignment horizontal="right" vertical="center"/>
    </xf>
    <xf numFmtId="0" fontId="2" fillId="4" borderId="24" xfId="1" applyFont="1" applyFill="1" applyBorder="1" applyAlignment="1">
      <alignment horizontal="center"/>
    </xf>
    <xf numFmtId="0" fontId="2" fillId="4" borderId="40" xfId="1" applyFont="1" applyFill="1" applyBorder="1" applyAlignment="1">
      <alignment horizontal="center" vertical="center" wrapText="1"/>
    </xf>
    <xf numFmtId="164" fontId="2" fillId="3" borderId="36" xfId="1" applyNumberFormat="1" applyFont="1" applyFill="1" applyBorder="1" applyAlignment="1">
      <alignment vertical="center"/>
    </xf>
    <xf numFmtId="0" fontId="6" fillId="0" borderId="0" xfId="1" applyFont="1" applyBorder="1"/>
    <xf numFmtId="164" fontId="4" fillId="6" borderId="1" xfId="1" applyNumberFormat="1" applyFont="1" applyFill="1" applyBorder="1" applyAlignment="1">
      <alignment vertical="center"/>
    </xf>
    <xf numFmtId="164" fontId="4" fillId="6" borderId="8" xfId="1" applyNumberFormat="1" applyFont="1" applyFill="1" applyBorder="1" applyAlignment="1">
      <alignment vertical="center"/>
    </xf>
    <xf numFmtId="2" fontId="2" fillId="6" borderId="9" xfId="1" applyNumberFormat="1" applyFont="1" applyFill="1" applyBorder="1" applyAlignment="1">
      <alignment horizontal="center" vertical="center"/>
    </xf>
    <xf numFmtId="0" fontId="2" fillId="6" borderId="10" xfId="1" applyFont="1" applyFill="1" applyBorder="1" applyAlignment="1">
      <alignment vertical="center"/>
    </xf>
    <xf numFmtId="0" fontId="2" fillId="6" borderId="11" xfId="1" applyFont="1" applyFill="1" applyBorder="1" applyAlignment="1">
      <alignment vertical="center"/>
    </xf>
    <xf numFmtId="0" fontId="2" fillId="6" borderId="49" xfId="1" applyFont="1" applyFill="1" applyBorder="1" applyAlignment="1">
      <alignment horizontal="center" vertical="center"/>
    </xf>
    <xf numFmtId="0" fontId="2" fillId="6" borderId="50" xfId="1" applyFont="1" applyFill="1" applyBorder="1" applyAlignment="1">
      <alignment horizontal="center" vertical="center"/>
    </xf>
    <xf numFmtId="167" fontId="2" fillId="6" borderId="11" xfId="1" applyNumberFormat="1" applyFont="1" applyFill="1" applyBorder="1" applyAlignment="1">
      <alignment vertical="center"/>
    </xf>
    <xf numFmtId="164" fontId="2" fillId="6" borderId="10" xfId="1" applyNumberFormat="1" applyFont="1" applyFill="1" applyBorder="1" applyAlignment="1">
      <alignment vertical="center"/>
    </xf>
    <xf numFmtId="164" fontId="2" fillId="6" borderId="51" xfId="1" applyNumberFormat="1" applyFont="1" applyFill="1" applyBorder="1" applyAlignment="1">
      <alignment horizontal="center" vertical="center"/>
    </xf>
    <xf numFmtId="164" fontId="2" fillId="6" borderId="49" xfId="1" applyNumberFormat="1" applyFont="1" applyFill="1" applyBorder="1" applyAlignment="1">
      <alignment horizontal="center" vertical="center"/>
    </xf>
    <xf numFmtId="164" fontId="2" fillId="6" borderId="50" xfId="1" applyNumberFormat="1" applyFont="1" applyFill="1" applyBorder="1" applyAlignment="1">
      <alignment horizontal="center" vertical="center"/>
    </xf>
    <xf numFmtId="4" fontId="2" fillId="6" borderId="8" xfId="1" applyNumberFormat="1" applyFont="1" applyFill="1" applyBorder="1" applyAlignment="1">
      <alignment horizontal="center" vertical="center"/>
    </xf>
    <xf numFmtId="0" fontId="2" fillId="6" borderId="9" xfId="1" applyFont="1" applyFill="1" applyBorder="1" applyAlignment="1">
      <alignment horizontal="center" vertical="center"/>
    </xf>
    <xf numFmtId="0" fontId="4" fillId="6" borderId="49" xfId="1" applyFont="1" applyFill="1" applyBorder="1" applyAlignment="1">
      <alignment vertical="center"/>
    </xf>
    <xf numFmtId="0" fontId="2" fillId="6" borderId="45" xfId="1" applyFont="1" applyFill="1" applyBorder="1" applyAlignment="1">
      <alignment horizontal="center" vertical="center"/>
    </xf>
    <xf numFmtId="167" fontId="2" fillId="0" borderId="0" xfId="1" applyNumberFormat="1" applyFont="1"/>
    <xf numFmtId="167" fontId="2" fillId="4" borderId="12" xfId="1" applyNumberFormat="1" applyFont="1" applyFill="1" applyBorder="1" applyAlignment="1">
      <alignment vertical="center"/>
    </xf>
    <xf numFmtId="4" fontId="2" fillId="8" borderId="28" xfId="1" applyNumberFormat="1" applyFont="1" applyFill="1" applyBorder="1" applyAlignment="1">
      <alignment horizontal="center" vertical="center"/>
    </xf>
    <xf numFmtId="0" fontId="2" fillId="4" borderId="34" xfId="1" applyFont="1" applyFill="1" applyBorder="1" applyAlignment="1">
      <alignment horizontal="center"/>
    </xf>
    <xf numFmtId="0" fontId="2" fillId="4" borderId="34" xfId="1" applyFont="1" applyFill="1" applyBorder="1" applyAlignment="1">
      <alignment horizontal="left" vertical="center"/>
    </xf>
    <xf numFmtId="0" fontId="2" fillId="4" borderId="34" xfId="1" applyFont="1" applyFill="1" applyBorder="1" applyAlignment="1">
      <alignment horizontal="center" vertical="center" wrapText="1"/>
    </xf>
    <xf numFmtId="164" fontId="2" fillId="4" borderId="32" xfId="1" applyNumberFormat="1" applyFont="1" applyFill="1" applyBorder="1" applyAlignment="1">
      <alignment vertical="center"/>
    </xf>
    <xf numFmtId="2" fontId="2" fillId="4" borderId="29" xfId="1" applyNumberFormat="1" applyFont="1" applyFill="1" applyBorder="1" applyAlignment="1">
      <alignment horizontal="center" vertical="center"/>
    </xf>
    <xf numFmtId="0" fontId="2" fillId="4" borderId="30" xfId="1" applyFont="1" applyFill="1" applyBorder="1" applyAlignment="1">
      <alignment vertical="center"/>
    </xf>
    <xf numFmtId="0" fontId="2" fillId="4" borderId="31" xfId="1" applyFont="1" applyFill="1" applyBorder="1" applyAlignment="1">
      <alignment vertical="center"/>
    </xf>
    <xf numFmtId="0" fontId="2" fillId="0" borderId="46" xfId="1" applyFont="1" applyFill="1" applyBorder="1" applyAlignment="1">
      <alignment vertical="center"/>
    </xf>
    <xf numFmtId="0" fontId="2" fillId="0" borderId="29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167" fontId="2" fillId="4" borderId="31" xfId="1" applyNumberFormat="1" applyFont="1" applyFill="1" applyBorder="1" applyAlignment="1">
      <alignment vertical="center"/>
    </xf>
    <xf numFmtId="164" fontId="2" fillId="4" borderId="30" xfId="1" applyNumberFormat="1" applyFont="1" applyFill="1" applyBorder="1" applyAlignment="1">
      <alignment vertical="center"/>
    </xf>
    <xf numFmtId="164" fontId="2" fillId="0" borderId="32" xfId="1" applyNumberFormat="1" applyFont="1" applyFill="1" applyBorder="1" applyAlignment="1">
      <alignment vertical="center"/>
    </xf>
    <xf numFmtId="164" fontId="2" fillId="0" borderId="29" xfId="1" applyNumberFormat="1" applyFont="1" applyFill="1" applyBorder="1" applyAlignment="1">
      <alignment vertical="center"/>
    </xf>
    <xf numFmtId="164" fontId="2" fillId="0" borderId="31" xfId="1" applyNumberFormat="1" applyFont="1" applyFill="1" applyBorder="1" applyAlignment="1">
      <alignment vertical="center"/>
    </xf>
    <xf numFmtId="3" fontId="2" fillId="6" borderId="32" xfId="1" applyNumberFormat="1" applyFont="1" applyFill="1" applyBorder="1" applyAlignment="1">
      <alignment vertical="center"/>
    </xf>
    <xf numFmtId="0" fontId="2" fillId="6" borderId="29" xfId="1" applyFont="1" applyFill="1" applyBorder="1" applyAlignment="1">
      <alignment horizontal="center" vertical="center"/>
    </xf>
    <xf numFmtId="0" fontId="2" fillId="6" borderId="29" xfId="1" applyFont="1" applyFill="1" applyBorder="1" applyAlignment="1">
      <alignment vertical="center"/>
    </xf>
    <xf numFmtId="0" fontId="2" fillId="4" borderId="29" xfId="1" applyFont="1" applyFill="1" applyBorder="1" applyAlignment="1">
      <alignment horizontal="center" vertical="center" wrapText="1"/>
    </xf>
    <xf numFmtId="0" fontId="2" fillId="0" borderId="47" xfId="1" applyFont="1" applyFill="1" applyBorder="1" applyAlignment="1">
      <alignment vertical="center"/>
    </xf>
    <xf numFmtId="0" fontId="2" fillId="0" borderId="20" xfId="1" applyFont="1" applyFill="1" applyBorder="1" applyAlignment="1">
      <alignment vertical="center"/>
    </xf>
    <xf numFmtId="0" fontId="2" fillId="0" borderId="22" xfId="1" applyFont="1" applyFill="1" applyBorder="1" applyAlignment="1">
      <alignment vertical="center"/>
    </xf>
    <xf numFmtId="164" fontId="2" fillId="0" borderId="19" xfId="1" applyNumberFormat="1" applyFont="1" applyFill="1" applyBorder="1" applyAlignment="1">
      <alignment vertical="center"/>
    </xf>
    <xf numFmtId="164" fontId="2" fillId="0" borderId="20" xfId="1" applyNumberFormat="1" applyFont="1" applyFill="1" applyBorder="1" applyAlignment="1">
      <alignment vertical="center"/>
    </xf>
    <xf numFmtId="164" fontId="2" fillId="0" borderId="22" xfId="1" applyNumberFormat="1" applyFont="1" applyFill="1" applyBorder="1" applyAlignment="1">
      <alignment vertical="center"/>
    </xf>
    <xf numFmtId="2" fontId="2" fillId="0" borderId="29" xfId="1" applyNumberFormat="1" applyFont="1" applyFill="1" applyBorder="1" applyAlignment="1">
      <alignment horizontal="center" vertical="center"/>
    </xf>
    <xf numFmtId="0" fontId="2" fillId="4" borderId="52" xfId="1" applyFont="1" applyFill="1" applyBorder="1" applyAlignment="1">
      <alignment vertical="center"/>
    </xf>
    <xf numFmtId="0" fontId="2" fillId="4" borderId="53" xfId="1" applyFont="1" applyFill="1" applyBorder="1" applyAlignment="1">
      <alignment vertical="center"/>
    </xf>
    <xf numFmtId="167" fontId="2" fillId="4" borderId="53" xfId="1" applyNumberFormat="1" applyFont="1" applyFill="1" applyBorder="1" applyAlignment="1">
      <alignment vertical="center"/>
    </xf>
    <xf numFmtId="164" fontId="2" fillId="4" borderId="52" xfId="1" applyNumberFormat="1" applyFont="1" applyFill="1" applyBorder="1" applyAlignment="1">
      <alignment vertical="center"/>
    </xf>
    <xf numFmtId="164" fontId="2" fillId="4" borderId="54" xfId="1" applyNumberFormat="1" applyFont="1" applyFill="1" applyBorder="1" applyAlignment="1">
      <alignment vertical="center"/>
    </xf>
    <xf numFmtId="164" fontId="2" fillId="4" borderId="53" xfId="1" applyNumberFormat="1" applyFont="1" applyFill="1" applyBorder="1" applyAlignment="1">
      <alignment vertical="center"/>
    </xf>
    <xf numFmtId="164" fontId="2" fillId="0" borderId="53" xfId="1" applyNumberFormat="1" applyFont="1" applyFill="1" applyBorder="1" applyAlignment="1">
      <alignment vertical="center"/>
    </xf>
    <xf numFmtId="4" fontId="2" fillId="9" borderId="28" xfId="1" applyNumberFormat="1" applyFont="1" applyFill="1" applyBorder="1" applyAlignment="1">
      <alignment vertical="center"/>
    </xf>
    <xf numFmtId="4" fontId="2" fillId="9" borderId="28" xfId="1" applyNumberFormat="1" applyFont="1" applyFill="1" applyBorder="1" applyAlignment="1">
      <alignment horizontal="center" vertical="center"/>
    </xf>
    <xf numFmtId="0" fontId="2" fillId="4" borderId="29" xfId="1" applyFont="1" applyFill="1" applyBorder="1" applyAlignment="1">
      <alignment horizontal="left" vertical="center"/>
    </xf>
    <xf numFmtId="164" fontId="2" fillId="0" borderId="12" xfId="1" applyNumberFormat="1" applyFont="1" applyFill="1" applyBorder="1" applyAlignment="1">
      <alignment vertical="center"/>
    </xf>
    <xf numFmtId="0" fontId="2" fillId="0" borderId="0" xfId="1" applyFont="1" applyFill="1"/>
    <xf numFmtId="0" fontId="6" fillId="0" borderId="0" xfId="1" applyFont="1" applyFill="1" applyBorder="1"/>
    <xf numFmtId="0" fontId="2" fillId="0" borderId="0" xfId="1" applyFont="1" applyFill="1" applyBorder="1"/>
    <xf numFmtId="0" fontId="2" fillId="0" borderId="0" xfId="1" applyFont="1" applyFill="1" applyAlignment="1">
      <alignment vertical="center"/>
    </xf>
    <xf numFmtId="0" fontId="2" fillId="6" borderId="46" xfId="1" applyFont="1" applyFill="1" applyBorder="1" applyAlignment="1">
      <alignment vertical="center"/>
    </xf>
    <xf numFmtId="3" fontId="2" fillId="6" borderId="28" xfId="1" applyNumberFormat="1" applyFont="1" applyFill="1" applyBorder="1" applyAlignment="1">
      <alignment vertical="center"/>
    </xf>
    <xf numFmtId="0" fontId="2" fillId="6" borderId="29" xfId="1" applyFont="1" applyFill="1" applyBorder="1" applyAlignment="1">
      <alignment horizontal="center"/>
    </xf>
    <xf numFmtId="0" fontId="2" fillId="6" borderId="29" xfId="1" applyFont="1" applyFill="1" applyBorder="1"/>
    <xf numFmtId="164" fontId="2" fillId="0" borderId="0" xfId="1" applyNumberFormat="1" applyFont="1" applyFill="1" applyBorder="1"/>
    <xf numFmtId="0" fontId="2" fillId="4" borderId="29" xfId="1" applyFont="1" applyFill="1" applyBorder="1"/>
    <xf numFmtId="2" fontId="2" fillId="0" borderId="20" xfId="1" applyNumberFormat="1" applyFont="1" applyFill="1" applyBorder="1" applyAlignment="1">
      <alignment horizontal="center" vertical="center"/>
    </xf>
    <xf numFmtId="0" fontId="2" fillId="4" borderId="21" xfId="1" applyFont="1" applyFill="1" applyBorder="1" applyAlignment="1">
      <alignment vertical="center"/>
    </xf>
    <xf numFmtId="0" fontId="2" fillId="4" borderId="22" xfId="1" applyFont="1" applyFill="1" applyBorder="1" applyAlignment="1">
      <alignment vertical="center"/>
    </xf>
    <xf numFmtId="167" fontId="2" fillId="4" borderId="22" xfId="1" applyNumberFormat="1" applyFont="1" applyFill="1" applyBorder="1" applyAlignment="1">
      <alignment vertical="center"/>
    </xf>
    <xf numFmtId="164" fontId="2" fillId="4" borderId="21" xfId="1" applyNumberFormat="1" applyFont="1" applyFill="1" applyBorder="1" applyAlignment="1">
      <alignment vertical="center"/>
    </xf>
    <xf numFmtId="4" fontId="2" fillId="9" borderId="39" xfId="1" applyNumberFormat="1" applyFont="1" applyFill="1" applyBorder="1" applyAlignment="1">
      <alignment vertical="center"/>
    </xf>
    <xf numFmtId="0" fontId="2" fillId="4" borderId="24" xfId="1" applyFont="1" applyFill="1" applyBorder="1"/>
    <xf numFmtId="0" fontId="2" fillId="4" borderId="24" xfId="1" applyFont="1" applyFill="1" applyBorder="1" applyAlignment="1">
      <alignment horizontal="center" vertical="center" wrapText="1"/>
    </xf>
    <xf numFmtId="0" fontId="2" fillId="6" borderId="55" xfId="1" applyFont="1" applyFill="1" applyBorder="1" applyAlignment="1">
      <alignment horizontal="left" vertical="center" wrapText="1"/>
    </xf>
    <xf numFmtId="167" fontId="2" fillId="3" borderId="3" xfId="1" applyNumberFormat="1" applyFont="1" applyFill="1" applyBorder="1" applyAlignment="1">
      <alignment vertical="center"/>
    </xf>
    <xf numFmtId="0" fontId="2" fillId="3" borderId="56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164" fontId="4" fillId="6" borderId="14" xfId="1" applyNumberFormat="1" applyFont="1" applyFill="1" applyBorder="1" applyAlignment="1">
      <alignment vertical="center"/>
    </xf>
    <xf numFmtId="2" fontId="2" fillId="6" borderId="15" xfId="1" applyNumberFormat="1" applyFont="1" applyFill="1" applyBorder="1" applyAlignment="1">
      <alignment horizontal="center" vertical="center"/>
    </xf>
    <xf numFmtId="0" fontId="2" fillId="6" borderId="57" xfId="1" applyFont="1" applyFill="1" applyBorder="1" applyAlignment="1">
      <alignment vertical="center"/>
    </xf>
    <xf numFmtId="0" fontId="2" fillId="6" borderId="16" xfId="1" applyFont="1" applyFill="1" applyBorder="1" applyAlignment="1">
      <alignment vertical="center"/>
    </xf>
    <xf numFmtId="0" fontId="2" fillId="6" borderId="58" xfId="1" applyFont="1" applyFill="1" applyBorder="1" applyAlignment="1">
      <alignment horizontal="center" vertical="center"/>
    </xf>
    <xf numFmtId="0" fontId="2" fillId="6" borderId="59" xfId="1" applyFont="1" applyFill="1" applyBorder="1" applyAlignment="1">
      <alignment horizontal="center" vertical="center"/>
    </xf>
    <xf numFmtId="167" fontId="2" fillId="6" borderId="16" xfId="1" applyNumberFormat="1" applyFont="1" applyFill="1" applyBorder="1" applyAlignment="1">
      <alignment vertical="center"/>
    </xf>
    <xf numFmtId="164" fontId="2" fillId="6" borderId="57" xfId="1" applyNumberFormat="1" applyFont="1" applyFill="1" applyBorder="1" applyAlignment="1">
      <alignment vertical="center"/>
    </xf>
    <xf numFmtId="164" fontId="2" fillId="6" borderId="13" xfId="1" applyNumberFormat="1" applyFont="1" applyFill="1" applyBorder="1" applyAlignment="1">
      <alignment horizontal="center" vertical="center"/>
    </xf>
    <xf numFmtId="164" fontId="2" fillId="6" borderId="58" xfId="1" applyNumberFormat="1" applyFont="1" applyFill="1" applyBorder="1" applyAlignment="1">
      <alignment horizontal="center" vertical="center"/>
    </xf>
    <xf numFmtId="164" fontId="2" fillId="6" borderId="59" xfId="1" applyNumberFormat="1" applyFont="1" applyFill="1" applyBorder="1" applyAlignment="1">
      <alignment horizontal="center" vertical="center"/>
    </xf>
    <xf numFmtId="4" fontId="2" fillId="6" borderId="14" xfId="1" applyNumberFormat="1" applyFont="1" applyFill="1" applyBorder="1" applyAlignment="1">
      <alignment horizontal="center" vertical="center"/>
    </xf>
    <xf numFmtId="0" fontId="2" fillId="6" borderId="15" xfId="1" applyFont="1" applyFill="1" applyBorder="1" applyAlignment="1">
      <alignment horizontal="center" vertical="center"/>
    </xf>
    <xf numFmtId="0" fontId="4" fillId="6" borderId="58" xfId="1" applyFont="1" applyFill="1" applyBorder="1" applyAlignment="1">
      <alignment vertical="center"/>
    </xf>
    <xf numFmtId="0" fontId="2" fillId="6" borderId="42" xfId="1" applyFont="1" applyFill="1" applyBorder="1" applyAlignment="1">
      <alignment horizontal="center" vertical="center"/>
    </xf>
    <xf numFmtId="0" fontId="2" fillId="5" borderId="16" xfId="1" applyFont="1" applyFill="1" applyBorder="1" applyAlignment="1">
      <alignment horizontal="left" vertical="center"/>
    </xf>
    <xf numFmtId="164" fontId="2" fillId="5" borderId="18" xfId="1" applyNumberFormat="1" applyFont="1" applyFill="1" applyBorder="1" applyAlignment="1">
      <alignment vertical="center"/>
    </xf>
    <xf numFmtId="164" fontId="2" fillId="5" borderId="17" xfId="1" applyNumberFormat="1" applyFont="1" applyFill="1" applyBorder="1" applyAlignment="1">
      <alignment vertical="center"/>
    </xf>
    <xf numFmtId="164" fontId="2" fillId="5" borderId="32" xfId="1" applyNumberFormat="1" applyFont="1" applyFill="1" applyBorder="1" applyAlignment="1">
      <alignment vertical="center"/>
    </xf>
    <xf numFmtId="2" fontId="4" fillId="0" borderId="20" xfId="1" applyNumberFormat="1" applyFont="1" applyFill="1" applyBorder="1" applyAlignment="1">
      <alignment horizontal="center" vertical="center"/>
    </xf>
    <xf numFmtId="2" fontId="2" fillId="0" borderId="20" xfId="1" applyNumberFormat="1" applyFont="1" applyFill="1" applyBorder="1" applyAlignment="1">
      <alignment horizontal="center" vertical="center"/>
    </xf>
    <xf numFmtId="2" fontId="2" fillId="0" borderId="22" xfId="1" applyNumberFormat="1" applyFont="1" applyFill="1" applyBorder="1" applyAlignment="1">
      <alignment horizontal="center" vertical="center"/>
    </xf>
    <xf numFmtId="2" fontId="2" fillId="5" borderId="29" xfId="1" applyNumberFormat="1" applyFont="1" applyFill="1" applyBorder="1" applyAlignment="1">
      <alignment horizontal="center" vertical="center"/>
    </xf>
    <xf numFmtId="0" fontId="2" fillId="5" borderId="31" xfId="1" applyFont="1" applyFill="1" applyBorder="1" applyAlignment="1">
      <alignment vertical="center"/>
    </xf>
    <xf numFmtId="167" fontId="2" fillId="5" borderId="31" xfId="1" applyNumberFormat="1" applyFont="1" applyFill="1" applyBorder="1" applyAlignment="1">
      <alignment vertical="center"/>
    </xf>
    <xf numFmtId="164" fontId="2" fillId="0" borderId="46" xfId="1" applyNumberFormat="1" applyFont="1" applyFill="1" applyBorder="1" applyAlignment="1">
      <alignment vertical="center"/>
    </xf>
    <xf numFmtId="164" fontId="2" fillId="5" borderId="30" xfId="1" applyNumberFormat="1" applyFont="1" applyFill="1" applyBorder="1" applyAlignment="1">
      <alignment vertical="center"/>
    </xf>
    <xf numFmtId="0" fontId="2" fillId="5" borderId="60" xfId="1" applyFont="1" applyFill="1" applyBorder="1" applyAlignment="1">
      <alignment horizontal="center" vertical="center"/>
    </xf>
    <xf numFmtId="0" fontId="2" fillId="5" borderId="44" xfId="1" applyFont="1" applyFill="1" applyBorder="1" applyAlignment="1">
      <alignment horizontal="left" vertical="center"/>
    </xf>
    <xf numFmtId="168" fontId="2" fillId="10" borderId="17" xfId="1" applyNumberFormat="1" applyFont="1" applyFill="1" applyBorder="1" applyAlignment="1">
      <alignment vertical="center"/>
    </xf>
    <xf numFmtId="2" fontId="4" fillId="0" borderId="33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2" fontId="2" fillId="0" borderId="44" xfId="1" applyNumberFormat="1" applyFont="1" applyFill="1" applyBorder="1" applyAlignment="1">
      <alignment horizontal="center" vertical="center"/>
    </xf>
    <xf numFmtId="164" fontId="7" fillId="0" borderId="29" xfId="1" applyNumberFormat="1" applyFont="1" applyFill="1" applyBorder="1" applyAlignment="1">
      <alignment vertical="center"/>
    </xf>
    <xf numFmtId="164" fontId="7" fillId="0" borderId="31" xfId="1" applyNumberFormat="1" applyFont="1" applyFill="1" applyBorder="1" applyAlignment="1">
      <alignment vertical="center"/>
    </xf>
    <xf numFmtId="0" fontId="2" fillId="6" borderId="61" xfId="1" applyFont="1" applyFill="1" applyBorder="1" applyAlignment="1">
      <alignment vertical="center"/>
    </xf>
    <xf numFmtId="168" fontId="2" fillId="11" borderId="28" xfId="1" applyNumberFormat="1" applyFont="1" applyFill="1" applyBorder="1" applyAlignment="1">
      <alignment vertical="center"/>
    </xf>
    <xf numFmtId="0" fontId="2" fillId="0" borderId="34" xfId="1" applyFont="1" applyBorder="1" applyAlignment="1">
      <alignment horizontal="center" vertical="center"/>
    </xf>
    <xf numFmtId="0" fontId="2" fillId="0" borderId="62" xfId="1" applyFont="1" applyFill="1" applyBorder="1" applyAlignment="1">
      <alignment vertical="center"/>
    </xf>
    <xf numFmtId="164" fontId="7" fillId="0" borderId="29" xfId="1" applyNumberFormat="1" applyFont="1" applyBorder="1" applyAlignment="1">
      <alignment vertical="center"/>
    </xf>
    <xf numFmtId="0" fontId="2" fillId="5" borderId="63" xfId="1" applyFont="1" applyFill="1" applyBorder="1" applyAlignment="1">
      <alignment horizontal="center" vertical="center"/>
    </xf>
    <xf numFmtId="0" fontId="2" fillId="0" borderId="29" xfId="1" applyFont="1" applyBorder="1" applyAlignment="1">
      <alignment vertical="center"/>
    </xf>
    <xf numFmtId="0" fontId="2" fillId="0" borderId="46" xfId="1" applyFont="1" applyBorder="1" applyAlignment="1">
      <alignment vertical="center"/>
    </xf>
    <xf numFmtId="0" fontId="2" fillId="0" borderId="31" xfId="1" applyFont="1" applyBorder="1" applyAlignment="1">
      <alignment vertical="center"/>
    </xf>
    <xf numFmtId="164" fontId="2" fillId="0" borderId="29" xfId="1" applyNumberFormat="1" applyFont="1" applyBorder="1" applyAlignment="1">
      <alignment vertical="center"/>
    </xf>
    <xf numFmtId="164" fontId="2" fillId="8" borderId="28" xfId="1" applyNumberFormat="1" applyFont="1" applyFill="1" applyBorder="1" applyAlignment="1">
      <alignment vertical="center"/>
    </xf>
    <xf numFmtId="164" fontId="2" fillId="8" borderId="32" xfId="1" applyNumberFormat="1" applyFont="1" applyFill="1" applyBorder="1" applyAlignment="1">
      <alignment vertical="center"/>
    </xf>
    <xf numFmtId="0" fontId="2" fillId="5" borderId="34" xfId="1" applyFont="1" applyFill="1" applyBorder="1" applyAlignment="1">
      <alignment horizontal="center" vertical="center"/>
    </xf>
    <xf numFmtId="0" fontId="2" fillId="5" borderId="62" xfId="1" applyFont="1" applyFill="1" applyBorder="1" applyAlignment="1">
      <alignment vertical="center"/>
    </xf>
    <xf numFmtId="0" fontId="2" fillId="5" borderId="47" xfId="1" applyFont="1" applyFill="1" applyBorder="1" applyAlignment="1">
      <alignment horizontal="center" vertical="center" wrapText="1"/>
    </xf>
    <xf numFmtId="0" fontId="2" fillId="5" borderId="60" xfId="1" applyFont="1" applyFill="1" applyBorder="1" applyAlignment="1">
      <alignment horizontal="center" vertical="center" wrapText="1"/>
    </xf>
    <xf numFmtId="0" fontId="2" fillId="5" borderId="63" xfId="1" applyFont="1" applyFill="1" applyBorder="1" applyAlignment="1">
      <alignment horizontal="center" vertical="center" wrapText="1"/>
    </xf>
    <xf numFmtId="0" fontId="2" fillId="5" borderId="47" xfId="1" applyFont="1" applyFill="1" applyBorder="1" applyAlignment="1">
      <alignment horizontal="center" vertical="center"/>
    </xf>
    <xf numFmtId="2" fontId="2" fillId="0" borderId="0" xfId="1" applyNumberFormat="1" applyFont="1"/>
    <xf numFmtId="164" fontId="2" fillId="5" borderId="64" xfId="1" applyNumberFormat="1" applyFont="1" applyFill="1" applyBorder="1" applyAlignment="1">
      <alignment vertical="center"/>
    </xf>
    <xf numFmtId="164" fontId="2" fillId="5" borderId="39" xfId="1" applyNumberFormat="1" applyFont="1" applyFill="1" applyBorder="1" applyAlignment="1">
      <alignment vertical="center"/>
    </xf>
    <xf numFmtId="2" fontId="4" fillId="0" borderId="40" xfId="1" applyNumberFormat="1" applyFont="1" applyFill="1" applyBorder="1" applyAlignment="1">
      <alignment horizontal="center" vertical="center"/>
    </xf>
    <xf numFmtId="2" fontId="2" fillId="0" borderId="40" xfId="1" applyNumberFormat="1" applyFont="1" applyFill="1" applyBorder="1" applyAlignment="1">
      <alignment horizontal="center" vertical="center"/>
    </xf>
    <xf numFmtId="2" fontId="2" fillId="0" borderId="55" xfId="1" applyNumberFormat="1" applyFont="1" applyFill="1" applyBorder="1" applyAlignment="1">
      <alignment horizontal="center" vertical="center"/>
    </xf>
    <xf numFmtId="2" fontId="2" fillId="0" borderId="24" xfId="1" applyNumberFormat="1" applyFont="1" applyFill="1" applyBorder="1" applyAlignment="1">
      <alignment horizontal="center" vertical="center"/>
    </xf>
    <xf numFmtId="0" fontId="2" fillId="5" borderId="25" xfId="1" applyFont="1" applyFill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2" fillId="0" borderId="47" xfId="1" applyFont="1" applyBorder="1" applyAlignment="1">
      <alignment vertical="center"/>
    </xf>
    <xf numFmtId="0" fontId="2" fillId="0" borderId="22" xfId="1" applyFont="1" applyBorder="1" applyAlignment="1">
      <alignment vertical="center"/>
    </xf>
    <xf numFmtId="167" fontId="2" fillId="5" borderId="25" xfId="1" applyNumberFormat="1" applyFont="1" applyFill="1" applyBorder="1" applyAlignment="1">
      <alignment vertical="center"/>
    </xf>
    <xf numFmtId="164" fontId="2" fillId="0" borderId="47" xfId="1" applyNumberFormat="1" applyFont="1" applyFill="1" applyBorder="1" applyAlignment="1">
      <alignment vertical="center"/>
    </xf>
    <xf numFmtId="164" fontId="2" fillId="0" borderId="20" xfId="1" applyNumberFormat="1" applyFont="1" applyBorder="1" applyAlignment="1">
      <alignment vertical="center"/>
    </xf>
    <xf numFmtId="164" fontId="2" fillId="5" borderId="65" xfId="1" applyNumberFormat="1" applyFont="1" applyFill="1" applyBorder="1" applyAlignment="1">
      <alignment vertical="center"/>
    </xf>
    <xf numFmtId="0" fontId="2" fillId="5" borderId="24" xfId="1" applyFont="1" applyFill="1" applyBorder="1" applyAlignment="1">
      <alignment horizontal="center" vertical="center"/>
    </xf>
    <xf numFmtId="0" fontId="2" fillId="5" borderId="66" xfId="1" applyFont="1" applyFill="1" applyBorder="1" applyAlignment="1">
      <alignment vertical="center"/>
    </xf>
    <xf numFmtId="0" fontId="2" fillId="5" borderId="67" xfId="1" applyFont="1" applyFill="1" applyBorder="1" applyAlignment="1">
      <alignment horizontal="center" vertical="center"/>
    </xf>
    <xf numFmtId="0" fontId="2" fillId="5" borderId="55" xfId="1" applyFont="1" applyFill="1" applyBorder="1" applyAlignment="1">
      <alignment horizontal="left" vertical="center"/>
    </xf>
    <xf numFmtId="164" fontId="2" fillId="6" borderId="14" xfId="1" applyNumberFormat="1" applyFont="1" applyFill="1" applyBorder="1" applyAlignment="1">
      <alignment horizontal="center" vertical="center"/>
    </xf>
    <xf numFmtId="169" fontId="2" fillId="0" borderId="0" xfId="2" applyNumberFormat="1" applyFont="1"/>
    <xf numFmtId="164" fontId="2" fillId="0" borderId="31" xfId="1" applyNumberFormat="1" applyFont="1" applyBorder="1" applyAlignment="1">
      <alignment vertical="center"/>
    </xf>
    <xf numFmtId="164" fontId="2" fillId="6" borderId="32" xfId="1" applyNumberFormat="1" applyFont="1" applyFill="1" applyBorder="1" applyAlignment="1">
      <alignment vertical="center"/>
    </xf>
    <xf numFmtId="0" fontId="2" fillId="5" borderId="20" xfId="1" applyFont="1" applyFill="1" applyBorder="1" applyAlignment="1">
      <alignment horizontal="center" vertical="center"/>
    </xf>
    <xf numFmtId="164" fontId="2" fillId="0" borderId="30" xfId="1" applyNumberFormat="1" applyFont="1" applyFill="1" applyBorder="1" applyAlignment="1">
      <alignment vertical="center"/>
    </xf>
    <xf numFmtId="164" fontId="1" fillId="11" borderId="28" xfId="1" applyNumberFormat="1" applyFont="1" applyFill="1" applyBorder="1" applyAlignment="1">
      <alignment vertical="center"/>
    </xf>
    <xf numFmtId="0" fontId="1" fillId="0" borderId="34" xfId="1" applyBorder="1" applyAlignment="1">
      <alignment horizontal="center" vertical="center"/>
    </xf>
    <xf numFmtId="0" fontId="1" fillId="0" borderId="62" xfId="1" applyBorder="1" applyAlignment="1">
      <alignment vertical="center"/>
    </xf>
    <xf numFmtId="164" fontId="1" fillId="8" borderId="28" xfId="1" applyNumberFormat="1" applyFont="1" applyFill="1" applyBorder="1" applyAlignment="1">
      <alignment vertical="center"/>
    </xf>
    <xf numFmtId="164" fontId="1" fillId="8" borderId="32" xfId="1" applyNumberFormat="1" applyFont="1" applyFill="1" applyBorder="1" applyAlignment="1">
      <alignment vertical="center"/>
    </xf>
    <xf numFmtId="0" fontId="2" fillId="5" borderId="29" xfId="1" applyFont="1" applyFill="1" applyBorder="1" applyAlignment="1">
      <alignment vertical="center"/>
    </xf>
    <xf numFmtId="164" fontId="2" fillId="0" borderId="21" xfId="1" applyNumberFormat="1" applyFont="1" applyFill="1" applyBorder="1" applyAlignment="1">
      <alignment vertical="center"/>
    </xf>
    <xf numFmtId="0" fontId="2" fillId="5" borderId="68" xfId="1" applyFont="1" applyFill="1" applyBorder="1" applyAlignment="1">
      <alignment vertical="center"/>
    </xf>
    <xf numFmtId="0" fontId="2" fillId="5" borderId="67" xfId="1" applyFont="1" applyFill="1" applyBorder="1" applyAlignment="1">
      <alignment horizontal="center" vertical="center" wrapText="1"/>
    </xf>
    <xf numFmtId="164" fontId="2" fillId="6" borderId="16" xfId="1" applyNumberFormat="1" applyFont="1" applyFill="1" applyBorder="1" applyAlignment="1">
      <alignment horizontal="center" vertical="center"/>
    </xf>
    <xf numFmtId="164" fontId="2" fillId="6" borderId="15" xfId="1" applyNumberFormat="1" applyFont="1" applyFill="1" applyBorder="1" applyAlignment="1">
      <alignment horizontal="center" vertical="center"/>
    </xf>
    <xf numFmtId="0" fontId="2" fillId="5" borderId="16" xfId="1" applyFont="1" applyFill="1" applyBorder="1" applyAlignment="1">
      <alignment horizontal="left" vertical="center" wrapText="1"/>
    </xf>
    <xf numFmtId="0" fontId="2" fillId="5" borderId="44" xfId="1" applyFont="1" applyFill="1" applyBorder="1" applyAlignment="1">
      <alignment horizontal="left" vertical="center" wrapText="1"/>
    </xf>
    <xf numFmtId="164" fontId="2" fillId="11" borderId="28" xfId="1" applyNumberFormat="1" applyFont="1" applyFill="1" applyBorder="1" applyAlignment="1">
      <alignment vertical="center"/>
    </xf>
    <xf numFmtId="0" fontId="2" fillId="5" borderId="46" xfId="1" applyFont="1" applyFill="1" applyBorder="1" applyAlignment="1">
      <alignment vertical="center"/>
    </xf>
    <xf numFmtId="0" fontId="2" fillId="5" borderId="69" xfId="1" applyFont="1" applyFill="1" applyBorder="1" applyAlignment="1">
      <alignment vertical="center"/>
    </xf>
    <xf numFmtId="0" fontId="2" fillId="5" borderId="40" xfId="1" applyFont="1" applyFill="1" applyBorder="1" applyAlignment="1">
      <alignment horizontal="center" vertical="center" wrapText="1"/>
    </xf>
    <xf numFmtId="0" fontId="2" fillId="5" borderId="55" xfId="1" applyFont="1" applyFill="1" applyBorder="1" applyAlignment="1">
      <alignment horizontal="left" vertical="center" wrapText="1"/>
    </xf>
    <xf numFmtId="164" fontId="2" fillId="8" borderId="37" xfId="1" applyNumberFormat="1" applyFont="1" applyFill="1" applyBorder="1" applyAlignment="1">
      <alignment vertical="center"/>
    </xf>
    <xf numFmtId="0" fontId="2" fillId="5" borderId="33" xfId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vertical="center"/>
    </xf>
    <xf numFmtId="164" fontId="2" fillId="8" borderId="39" xfId="1" applyNumberFormat="1" applyFont="1" applyFill="1" applyBorder="1" applyAlignment="1">
      <alignment vertical="center"/>
    </xf>
    <xf numFmtId="167" fontId="2" fillId="5" borderId="22" xfId="1" applyNumberFormat="1" applyFont="1" applyFill="1" applyBorder="1" applyAlignment="1">
      <alignment vertical="center"/>
    </xf>
    <xf numFmtId="164" fontId="2" fillId="5" borderId="19" xfId="1" applyNumberFormat="1" applyFont="1" applyFill="1" applyBorder="1" applyAlignment="1">
      <alignment vertical="center"/>
    </xf>
    <xf numFmtId="0" fontId="2" fillId="5" borderId="22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164" fontId="2" fillId="5" borderId="21" xfId="1" applyNumberFormat="1" applyFont="1" applyFill="1" applyBorder="1" applyAlignment="1">
      <alignment vertical="center"/>
    </xf>
    <xf numFmtId="164" fontId="2" fillId="0" borderId="70" xfId="1" applyNumberFormat="1" applyFont="1" applyFill="1" applyBorder="1" applyAlignment="1">
      <alignment vertical="center"/>
    </xf>
    <xf numFmtId="0" fontId="2" fillId="6" borderId="34" xfId="1" applyFont="1" applyFill="1" applyBorder="1" applyAlignment="1">
      <alignment horizontal="center" vertical="center"/>
    </xf>
    <xf numFmtId="0" fontId="2" fillId="6" borderId="62" xfId="1" applyFont="1" applyFill="1" applyBorder="1" applyAlignment="1">
      <alignment vertical="center"/>
    </xf>
    <xf numFmtId="0" fontId="2" fillId="5" borderId="20" xfId="1" applyFont="1" applyFill="1" applyBorder="1" applyAlignment="1">
      <alignment horizontal="center" vertical="center"/>
    </xf>
    <xf numFmtId="0" fontId="2" fillId="5" borderId="33" xfId="1" applyFont="1" applyFill="1" applyBorder="1" applyAlignment="1">
      <alignment horizontal="center" vertical="center"/>
    </xf>
    <xf numFmtId="0" fontId="2" fillId="0" borderId="69" xfId="1" applyFont="1" applyFill="1" applyBorder="1" applyAlignment="1">
      <alignment vertical="center"/>
    </xf>
    <xf numFmtId="0" fontId="2" fillId="0" borderId="24" xfId="1" applyFont="1" applyFill="1" applyBorder="1" applyAlignment="1">
      <alignment vertical="center"/>
    </xf>
    <xf numFmtId="0" fontId="2" fillId="0" borderId="25" xfId="1" applyFont="1" applyFill="1" applyBorder="1" applyAlignment="1">
      <alignment vertical="center"/>
    </xf>
    <xf numFmtId="164" fontId="2" fillId="0" borderId="69" xfId="1" applyNumberFormat="1" applyFont="1" applyFill="1" applyBorder="1" applyAlignment="1">
      <alignment vertical="center"/>
    </xf>
    <xf numFmtId="164" fontId="2" fillId="0" borderId="24" xfId="1" applyNumberFormat="1" applyFont="1" applyFill="1" applyBorder="1" applyAlignment="1">
      <alignment vertical="center"/>
    </xf>
    <xf numFmtId="164" fontId="2" fillId="0" borderId="65" xfId="1" applyNumberFormat="1" applyFont="1" applyFill="1" applyBorder="1" applyAlignment="1">
      <alignment vertical="center"/>
    </xf>
    <xf numFmtId="164" fontId="2" fillId="0" borderId="25" xfId="1" applyNumberFormat="1" applyFont="1" applyFill="1" applyBorder="1" applyAlignment="1">
      <alignment vertical="center"/>
    </xf>
    <xf numFmtId="164" fontId="2" fillId="0" borderId="39" xfId="1" applyNumberFormat="1" applyFont="1" applyFill="1" applyBorder="1" applyAlignment="1">
      <alignment vertical="center"/>
    </xf>
    <xf numFmtId="0" fontId="2" fillId="5" borderId="40" xfId="1" applyFont="1" applyFill="1" applyBorder="1" applyAlignment="1">
      <alignment horizontal="center" vertical="center"/>
    </xf>
    <xf numFmtId="0" fontId="2" fillId="5" borderId="40" xfId="1" applyFont="1" applyFill="1" applyBorder="1" applyAlignment="1">
      <alignment horizontal="center" vertical="center"/>
    </xf>
    <xf numFmtId="167" fontId="2" fillId="0" borderId="31" xfId="1" applyNumberFormat="1" applyFont="1" applyFill="1" applyBorder="1" applyAlignment="1">
      <alignment vertical="center"/>
    </xf>
    <xf numFmtId="0" fontId="2" fillId="0" borderId="63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2" fillId="0" borderId="48" xfId="1" applyFont="1" applyFill="1" applyBorder="1" applyAlignment="1">
      <alignment vertical="center"/>
    </xf>
    <xf numFmtId="0" fontId="2" fillId="0" borderId="31" xfId="1" applyNumberFormat="1" applyFont="1" applyFill="1" applyBorder="1" applyAlignment="1">
      <alignment vertical="center"/>
    </xf>
    <xf numFmtId="164" fontId="2" fillId="0" borderId="63" xfId="1" applyNumberFormat="1" applyFont="1" applyFill="1" applyBorder="1" applyAlignment="1">
      <alignment vertical="center"/>
    </xf>
    <xf numFmtId="164" fontId="2" fillId="0" borderId="43" xfId="1" applyNumberFormat="1" applyFont="1" applyFill="1" applyBorder="1" applyAlignment="1">
      <alignment vertical="center"/>
    </xf>
    <xf numFmtId="164" fontId="2" fillId="0" borderId="48" xfId="1" applyNumberFormat="1" applyFont="1" applyFill="1" applyBorder="1" applyAlignment="1">
      <alignment vertical="center"/>
    </xf>
    <xf numFmtId="164" fontId="2" fillId="0" borderId="28" xfId="1" applyNumberFormat="1" applyFont="1" applyFill="1" applyBorder="1" applyAlignment="1">
      <alignment vertical="center"/>
    </xf>
    <xf numFmtId="164" fontId="2" fillId="0" borderId="34" xfId="1" applyNumberFormat="1" applyFont="1" applyFill="1" applyBorder="1" applyAlignment="1">
      <alignment vertical="center"/>
    </xf>
    <xf numFmtId="164" fontId="2" fillId="0" borderId="71" xfId="1" applyNumberFormat="1" applyFont="1" applyFill="1" applyBorder="1" applyAlignment="1">
      <alignment vertical="center"/>
    </xf>
    <xf numFmtId="2" fontId="2" fillId="0" borderId="52" xfId="1" applyNumberFormat="1" applyFont="1" applyFill="1" applyBorder="1" applyAlignment="1">
      <alignment horizontal="center" vertical="center"/>
    </xf>
    <xf numFmtId="2" fontId="2" fillId="0" borderId="62" xfId="1" applyNumberFormat="1" applyFont="1" applyFill="1" applyBorder="1" applyAlignment="1">
      <alignment horizontal="center" vertical="center"/>
    </xf>
    <xf numFmtId="0" fontId="2" fillId="0" borderId="46" xfId="1" applyNumberFormat="1" applyFont="1" applyFill="1" applyBorder="1" applyAlignment="1">
      <alignment vertical="center"/>
    </xf>
    <xf numFmtId="0" fontId="2" fillId="0" borderId="30" xfId="1" applyNumberFormat="1" applyFont="1" applyFill="1" applyBorder="1" applyAlignment="1">
      <alignment vertical="center"/>
    </xf>
    <xf numFmtId="0" fontId="2" fillId="5" borderId="34" xfId="1" applyFont="1" applyFill="1" applyBorder="1" applyAlignment="1">
      <alignment horizontal="center" vertical="center"/>
    </xf>
    <xf numFmtId="0" fontId="2" fillId="5" borderId="52" xfId="1" applyFont="1" applyFill="1" applyBorder="1" applyAlignment="1">
      <alignment vertical="center"/>
    </xf>
    <xf numFmtId="0" fontId="2" fillId="0" borderId="47" xfId="1" applyNumberFormat="1" applyFont="1" applyFill="1" applyBorder="1" applyAlignment="1">
      <alignment vertical="center"/>
    </xf>
    <xf numFmtId="0" fontId="2" fillId="0" borderId="21" xfId="1" applyNumberFormat="1" applyFont="1" applyFill="1" applyBorder="1" applyAlignment="1">
      <alignment vertical="center"/>
    </xf>
    <xf numFmtId="0" fontId="2" fillId="0" borderId="22" xfId="1" applyNumberFormat="1" applyFont="1" applyFill="1" applyBorder="1" applyAlignment="1">
      <alignment vertical="center"/>
    </xf>
    <xf numFmtId="164" fontId="2" fillId="0" borderId="54" xfId="1" applyNumberFormat="1" applyFont="1" applyFill="1" applyBorder="1" applyAlignment="1">
      <alignment vertical="center"/>
    </xf>
    <xf numFmtId="2" fontId="2" fillId="0" borderId="29" xfId="1" applyNumberFormat="1" applyFont="1" applyFill="1" applyBorder="1" applyAlignment="1">
      <alignment horizontal="center" vertical="center"/>
    </xf>
    <xf numFmtId="1" fontId="2" fillId="0" borderId="63" xfId="1" applyNumberFormat="1" applyFont="1" applyFill="1" applyBorder="1" applyAlignment="1">
      <alignment vertical="center"/>
    </xf>
    <xf numFmtId="1" fontId="2" fillId="0" borderId="43" xfId="1" applyNumberFormat="1" applyFont="1" applyFill="1" applyBorder="1" applyAlignment="1">
      <alignment vertical="center"/>
    </xf>
    <xf numFmtId="1" fontId="2" fillId="0" borderId="48" xfId="1" applyNumberFormat="1" applyFont="1" applyFill="1" applyBorder="1" applyAlignment="1">
      <alignment vertical="center"/>
    </xf>
    <xf numFmtId="164" fontId="2" fillId="5" borderId="46" xfId="1" applyNumberFormat="1" applyFont="1" applyFill="1" applyBorder="1" applyAlignment="1">
      <alignment vertical="center"/>
    </xf>
    <xf numFmtId="164" fontId="7" fillId="0" borderId="30" xfId="1" applyNumberFormat="1" applyFont="1" applyFill="1" applyBorder="1" applyAlignment="1">
      <alignment vertical="center"/>
    </xf>
    <xf numFmtId="164" fontId="7" fillId="0" borderId="43" xfId="1" applyNumberFormat="1" applyFont="1" applyFill="1" applyBorder="1" applyAlignment="1">
      <alignment vertical="center"/>
    </xf>
    <xf numFmtId="164" fontId="7" fillId="0" borderId="48" xfId="1" applyNumberFormat="1" applyFont="1" applyFill="1" applyBorder="1" applyAlignment="1">
      <alignment vertical="center"/>
    </xf>
    <xf numFmtId="164" fontId="2" fillId="5" borderId="47" xfId="1" applyNumberFormat="1" applyFont="1" applyFill="1" applyBorder="1" applyAlignment="1">
      <alignment vertical="center"/>
    </xf>
    <xf numFmtId="1" fontId="2" fillId="0" borderId="48" xfId="1" applyNumberFormat="1" applyFont="1" applyBorder="1" applyAlignment="1">
      <alignment horizontal="center" vertical="center"/>
    </xf>
    <xf numFmtId="1" fontId="2" fillId="0" borderId="46" xfId="1" applyNumberFormat="1" applyFont="1" applyFill="1" applyBorder="1" applyAlignment="1">
      <alignment vertical="center"/>
    </xf>
    <xf numFmtId="1" fontId="2" fillId="0" borderId="30" xfId="1" applyNumberFormat="1" applyFont="1" applyFill="1" applyBorder="1" applyAlignment="1">
      <alignment vertical="center"/>
    </xf>
    <xf numFmtId="1" fontId="2" fillId="0" borderId="31" xfId="1" applyNumberFormat="1" applyFont="1" applyBorder="1" applyAlignment="1">
      <alignment horizontal="center" vertical="center"/>
    </xf>
    <xf numFmtId="164" fontId="2" fillId="0" borderId="29" xfId="1" applyNumberFormat="1" applyFont="1" applyBorder="1" applyAlignment="1">
      <alignment horizontal="center" vertical="center"/>
    </xf>
    <xf numFmtId="1" fontId="2" fillId="0" borderId="47" xfId="1" applyNumberFormat="1" applyFont="1" applyFill="1" applyBorder="1" applyAlignment="1">
      <alignment vertical="center"/>
    </xf>
    <xf numFmtId="1" fontId="2" fillId="0" borderId="21" xfId="1" applyNumberFormat="1" applyFont="1" applyFill="1" applyBorder="1" applyAlignment="1">
      <alignment vertical="center"/>
    </xf>
    <xf numFmtId="1" fontId="2" fillId="0" borderId="22" xfId="1" applyNumberFormat="1" applyFont="1" applyBorder="1" applyAlignment="1">
      <alignment horizontal="center" vertical="center"/>
    </xf>
    <xf numFmtId="164" fontId="2" fillId="0" borderId="20" xfId="1" applyNumberFormat="1" applyFont="1" applyBorder="1" applyAlignment="1">
      <alignment horizontal="right" vertical="center"/>
    </xf>
    <xf numFmtId="164" fontId="2" fillId="0" borderId="29" xfId="1" applyNumberFormat="1" applyFont="1" applyBorder="1" applyAlignment="1">
      <alignment horizontal="right" vertical="center"/>
    </xf>
    <xf numFmtId="170" fontId="2" fillId="0" borderId="30" xfId="1" applyNumberFormat="1" applyFont="1" applyFill="1" applyBorder="1" applyAlignment="1">
      <alignment vertical="center"/>
    </xf>
    <xf numFmtId="1" fontId="2" fillId="5" borderId="22" xfId="1" applyNumberFormat="1" applyFont="1" applyFill="1" applyBorder="1" applyAlignment="1">
      <alignment vertical="center"/>
    </xf>
    <xf numFmtId="16" fontId="2" fillId="5" borderId="24" xfId="1" applyNumberFormat="1" applyFont="1" applyFill="1" applyBorder="1" applyAlignment="1">
      <alignment horizontal="center" vertical="center"/>
    </xf>
    <xf numFmtId="1" fontId="2" fillId="6" borderId="59" xfId="1" applyNumberFormat="1" applyFont="1" applyFill="1" applyBorder="1" applyAlignment="1">
      <alignment horizontal="center" vertical="center"/>
    </xf>
    <xf numFmtId="0" fontId="2" fillId="5" borderId="48" xfId="1" applyFont="1" applyFill="1" applyBorder="1" applyAlignment="1">
      <alignment vertical="center"/>
    </xf>
    <xf numFmtId="164" fontId="7" fillId="0" borderId="63" xfId="1" applyNumberFormat="1" applyFont="1" applyFill="1" applyBorder="1" applyAlignment="1">
      <alignment vertical="center"/>
    </xf>
    <xf numFmtId="164" fontId="2" fillId="0" borderId="29" xfId="1" applyNumberFormat="1" applyFont="1" applyFill="1" applyBorder="1" applyAlignment="1">
      <alignment horizontal="center" vertical="center"/>
    </xf>
    <xf numFmtId="164" fontId="2" fillId="0" borderId="34" xfId="1" applyNumberFormat="1" applyFont="1" applyFill="1" applyBorder="1" applyAlignment="1">
      <alignment horizontal="center" vertical="center"/>
    </xf>
    <xf numFmtId="164" fontId="2" fillId="0" borderId="34" xfId="1" applyNumberFormat="1" applyFont="1" applyBorder="1" applyAlignment="1">
      <alignment horizontal="center" vertical="center"/>
    </xf>
    <xf numFmtId="0" fontId="2" fillId="0" borderId="34" xfId="1" applyFont="1" applyFill="1" applyBorder="1" applyAlignment="1">
      <alignment horizontal="center" vertical="center"/>
    </xf>
    <xf numFmtId="1" fontId="2" fillId="0" borderId="31" xfId="1" applyNumberFormat="1" applyFont="1" applyBorder="1" applyAlignment="1">
      <alignment horizontal="right" vertical="center"/>
    </xf>
    <xf numFmtId="167" fontId="2" fillId="0" borderId="30" xfId="1" applyNumberFormat="1" applyFont="1" applyFill="1" applyBorder="1" applyAlignment="1">
      <alignment vertical="center"/>
    </xf>
    <xf numFmtId="164" fontId="2" fillId="8" borderId="19" xfId="1" applyNumberFormat="1" applyFont="1" applyFill="1" applyBorder="1" applyAlignment="1">
      <alignment vertical="center"/>
    </xf>
    <xf numFmtId="167" fontId="2" fillId="0" borderId="21" xfId="1" applyNumberFormat="1" applyFont="1" applyFill="1" applyBorder="1" applyAlignment="1">
      <alignment vertical="center"/>
    </xf>
    <xf numFmtId="2" fontId="2" fillId="0" borderId="66" xfId="1" applyNumberFormat="1" applyFont="1" applyFill="1" applyBorder="1" applyAlignment="1">
      <alignment horizontal="center" vertical="center"/>
    </xf>
    <xf numFmtId="1" fontId="2" fillId="0" borderId="69" xfId="1" applyNumberFormat="1" applyFont="1" applyFill="1" applyBorder="1" applyAlignment="1">
      <alignment vertical="center"/>
    </xf>
    <xf numFmtId="1" fontId="2" fillId="0" borderId="65" xfId="1" applyNumberFormat="1" applyFont="1" applyFill="1" applyBorder="1" applyAlignment="1">
      <alignment vertical="center"/>
    </xf>
    <xf numFmtId="1" fontId="2" fillId="0" borderId="25" xfId="1" applyNumberFormat="1" applyFont="1" applyBorder="1" applyAlignment="1">
      <alignment horizontal="center" vertical="center"/>
    </xf>
    <xf numFmtId="164" fontId="2" fillId="0" borderId="24" xfId="1" applyNumberFormat="1" applyFont="1" applyBorder="1" applyAlignment="1">
      <alignment horizontal="right" vertical="center"/>
    </xf>
    <xf numFmtId="164" fontId="2" fillId="0" borderId="72" xfId="1" applyNumberFormat="1" applyFont="1" applyFill="1" applyBorder="1" applyAlignment="1">
      <alignment vertical="center"/>
    </xf>
    <xf numFmtId="0" fontId="2" fillId="7" borderId="16" xfId="1" applyFont="1" applyFill="1" applyBorder="1" applyAlignment="1">
      <alignment horizontal="left" vertical="center" wrapText="1"/>
    </xf>
    <xf numFmtId="164" fontId="2" fillId="7" borderId="17" xfId="1" applyNumberFormat="1" applyFont="1" applyFill="1" applyBorder="1" applyAlignment="1">
      <alignment vertical="center"/>
    </xf>
    <xf numFmtId="164" fontId="2" fillId="7" borderId="32" xfId="1" applyNumberFormat="1" applyFont="1" applyFill="1" applyBorder="1" applyAlignment="1">
      <alignment vertical="center"/>
    </xf>
    <xf numFmtId="2" fontId="2" fillId="7" borderId="29" xfId="1" applyNumberFormat="1" applyFont="1" applyFill="1" applyBorder="1" applyAlignment="1">
      <alignment horizontal="center" vertical="center"/>
    </xf>
    <xf numFmtId="0" fontId="2" fillId="7" borderId="31" xfId="1" applyFont="1" applyFill="1" applyBorder="1" applyAlignment="1">
      <alignment vertical="center"/>
    </xf>
    <xf numFmtId="167" fontId="2" fillId="7" borderId="31" xfId="1" applyNumberFormat="1" applyFont="1" applyFill="1" applyBorder="1" applyAlignment="1">
      <alignment vertical="center"/>
    </xf>
    <xf numFmtId="164" fontId="2" fillId="7" borderId="30" xfId="1" applyNumberFormat="1" applyFont="1" applyFill="1" applyBorder="1" applyAlignment="1">
      <alignment vertical="center"/>
    </xf>
    <xf numFmtId="0" fontId="2" fillId="7" borderId="34" xfId="1" applyFont="1" applyFill="1" applyBorder="1" applyAlignment="1">
      <alignment horizontal="center" vertical="center"/>
    </xf>
    <xf numFmtId="0" fontId="2" fillId="7" borderId="60" xfId="1" applyFont="1" applyFill="1" applyBorder="1" applyAlignment="1">
      <alignment horizontal="center" vertical="center"/>
    </xf>
    <xf numFmtId="0" fontId="2" fillId="7" borderId="44" xfId="1" applyFont="1" applyFill="1" applyBorder="1" applyAlignment="1">
      <alignment horizontal="left" vertical="center" wrapText="1"/>
    </xf>
    <xf numFmtId="0" fontId="2" fillId="7" borderId="63" xfId="1" applyFont="1" applyFill="1" applyBorder="1" applyAlignment="1">
      <alignment horizontal="center" vertical="center"/>
    </xf>
    <xf numFmtId="0" fontId="2" fillId="7" borderId="33" xfId="1" applyFont="1" applyFill="1" applyBorder="1" applyAlignment="1">
      <alignment horizontal="center" vertical="center"/>
    </xf>
    <xf numFmtId="0" fontId="2" fillId="7" borderId="0" xfId="1" applyFont="1" applyFill="1" applyBorder="1" applyAlignment="1">
      <alignment vertical="center"/>
    </xf>
    <xf numFmtId="0" fontId="2" fillId="7" borderId="62" xfId="1" applyFont="1" applyFill="1" applyBorder="1" applyAlignment="1">
      <alignment vertical="center"/>
    </xf>
    <xf numFmtId="164" fontId="2" fillId="7" borderId="64" xfId="1" applyNumberFormat="1" applyFont="1" applyFill="1" applyBorder="1" applyAlignment="1">
      <alignment vertical="center"/>
    </xf>
    <xf numFmtId="164" fontId="2" fillId="7" borderId="39" xfId="1" applyNumberFormat="1" applyFont="1" applyFill="1" applyBorder="1" applyAlignment="1">
      <alignment vertical="center"/>
    </xf>
    <xf numFmtId="0" fontId="2" fillId="7" borderId="25" xfId="1" applyFont="1" applyFill="1" applyBorder="1" applyAlignment="1">
      <alignment vertical="center"/>
    </xf>
    <xf numFmtId="167" fontId="2" fillId="7" borderId="25" xfId="1" applyNumberFormat="1" applyFont="1" applyFill="1" applyBorder="1" applyAlignment="1">
      <alignment vertical="center"/>
    </xf>
    <xf numFmtId="164" fontId="2" fillId="7" borderId="65" xfId="1" applyNumberFormat="1" applyFont="1" applyFill="1" applyBorder="1" applyAlignment="1">
      <alignment vertical="center"/>
    </xf>
    <xf numFmtId="0" fontId="2" fillId="7" borderId="69" xfId="1" applyFont="1" applyFill="1" applyBorder="1" applyAlignment="1">
      <alignment vertical="center"/>
    </xf>
    <xf numFmtId="0" fontId="2" fillId="7" borderId="55" xfId="1" applyFont="1" applyFill="1" applyBorder="1" applyAlignment="1">
      <alignment horizontal="left" vertical="center" wrapText="1"/>
    </xf>
    <xf numFmtId="164" fontId="2" fillId="10" borderId="17" xfId="1" applyNumberFormat="1" applyFont="1" applyFill="1" applyBorder="1" applyAlignment="1">
      <alignment vertical="center"/>
    </xf>
    <xf numFmtId="164" fontId="2" fillId="7" borderId="19" xfId="1" applyNumberFormat="1" applyFont="1" applyFill="1" applyBorder="1" applyAlignment="1">
      <alignment vertical="center"/>
    </xf>
    <xf numFmtId="0" fontId="2" fillId="7" borderId="34" xfId="1" applyFont="1" applyFill="1" applyBorder="1" applyAlignment="1">
      <alignment horizontal="center" vertical="center" wrapText="1"/>
    </xf>
    <xf numFmtId="0" fontId="2" fillId="6" borderId="0" xfId="1" applyFont="1" applyFill="1" applyBorder="1" applyAlignment="1">
      <alignment vertical="center"/>
    </xf>
    <xf numFmtId="0" fontId="2" fillId="7" borderId="47" xfId="1" applyFont="1" applyFill="1" applyBorder="1" applyAlignment="1">
      <alignment horizontal="center" vertical="center" wrapText="1"/>
    </xf>
    <xf numFmtId="0" fontId="2" fillId="7" borderId="60" xfId="1" applyFont="1" applyFill="1" applyBorder="1" applyAlignment="1">
      <alignment horizontal="center" vertical="center" wrapText="1"/>
    </xf>
    <xf numFmtId="2" fontId="2" fillId="0" borderId="29" xfId="1" applyNumberFormat="1" applyFont="1" applyBorder="1" applyAlignment="1">
      <alignment horizontal="center" vertical="center"/>
    </xf>
    <xf numFmtId="164" fontId="2" fillId="0" borderId="32" xfId="1" applyNumberFormat="1" applyFont="1" applyBorder="1" applyAlignment="1">
      <alignment vertical="center"/>
    </xf>
    <xf numFmtId="0" fontId="2" fillId="7" borderId="22" xfId="1" applyFont="1" applyFill="1" applyBorder="1" applyAlignment="1">
      <alignment vertical="center"/>
    </xf>
    <xf numFmtId="167" fontId="2" fillId="7" borderId="22" xfId="1" applyNumberFormat="1" applyFont="1" applyFill="1" applyBorder="1" applyAlignment="1">
      <alignment vertical="center"/>
    </xf>
    <xf numFmtId="164" fontId="2" fillId="7" borderId="21" xfId="1" applyNumberFormat="1" applyFont="1" applyFill="1" applyBorder="1" applyAlignment="1">
      <alignment vertical="center"/>
    </xf>
    <xf numFmtId="0" fontId="2" fillId="7" borderId="20" xfId="1" applyFont="1" applyFill="1" applyBorder="1" applyAlignment="1">
      <alignment horizontal="center" vertical="center"/>
    </xf>
    <xf numFmtId="0" fontId="2" fillId="7" borderId="52" xfId="1" applyFont="1" applyFill="1" applyBorder="1" applyAlignment="1">
      <alignment vertical="center"/>
    </xf>
    <xf numFmtId="164" fontId="2" fillId="6" borderId="11" xfId="1" applyNumberFormat="1" applyFont="1" applyFill="1" applyBorder="1" applyAlignment="1">
      <alignment horizontal="center" vertical="center"/>
    </xf>
    <xf numFmtId="164" fontId="2" fillId="6" borderId="8" xfId="1" applyNumberFormat="1" applyFont="1" applyFill="1" applyBorder="1" applyAlignment="1">
      <alignment horizontal="center" vertical="center"/>
    </xf>
    <xf numFmtId="164" fontId="2" fillId="6" borderId="9" xfId="1" applyNumberFormat="1" applyFont="1" applyFill="1" applyBorder="1" applyAlignment="1">
      <alignment horizontal="center" vertical="center"/>
    </xf>
    <xf numFmtId="164" fontId="2" fillId="0" borderId="46" xfId="1" applyNumberFormat="1" applyFont="1" applyBorder="1" applyAlignment="1">
      <alignment vertical="center"/>
    </xf>
    <xf numFmtId="164" fontId="7" fillId="0" borderId="32" xfId="1" applyNumberFormat="1" applyFont="1" applyFill="1" applyBorder="1" applyAlignment="1">
      <alignment vertical="center"/>
    </xf>
    <xf numFmtId="0" fontId="2" fillId="7" borderId="47" xfId="1" applyFont="1" applyFill="1" applyBorder="1" applyAlignment="1">
      <alignment horizontal="center" vertical="center"/>
    </xf>
    <xf numFmtId="167" fontId="2" fillId="0" borderId="31" xfId="1" applyNumberFormat="1" applyFont="1" applyBorder="1" applyAlignment="1">
      <alignment vertical="center"/>
    </xf>
    <xf numFmtId="164" fontId="2" fillId="0" borderId="30" xfId="1" applyNumberFormat="1" applyFont="1" applyBorder="1" applyAlignment="1">
      <alignment vertical="center"/>
    </xf>
    <xf numFmtId="164" fontId="2" fillId="0" borderId="47" xfId="1" applyNumberFormat="1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64" fontId="2" fillId="0" borderId="22" xfId="1" applyNumberFormat="1" applyFont="1" applyBorder="1" applyAlignment="1">
      <alignment vertical="center"/>
    </xf>
    <xf numFmtId="164" fontId="2" fillId="0" borderId="19" xfId="1" applyNumberFormat="1" applyFont="1" applyBorder="1" applyAlignment="1">
      <alignment vertical="center"/>
    </xf>
    <xf numFmtId="0" fontId="2" fillId="7" borderId="0" xfId="1" applyFont="1" applyFill="1" applyBorder="1" applyAlignment="1">
      <alignment horizontal="center" vertical="center"/>
    </xf>
    <xf numFmtId="4" fontId="2" fillId="11" borderId="28" xfId="1" applyNumberFormat="1" applyFont="1" applyFill="1" applyBorder="1" applyAlignment="1">
      <alignment vertical="center"/>
    </xf>
    <xf numFmtId="0" fontId="2" fillId="7" borderId="61" xfId="1" applyFont="1" applyFill="1" applyBorder="1" applyAlignment="1">
      <alignment horizontal="center" vertical="center"/>
    </xf>
    <xf numFmtId="0" fontId="2" fillId="7" borderId="52" xfId="1" applyFont="1" applyFill="1" applyBorder="1" applyAlignment="1">
      <alignment horizontal="center" vertical="center"/>
    </xf>
    <xf numFmtId="0" fontId="2" fillId="7" borderId="52" xfId="1" applyFont="1" applyFill="1" applyBorder="1" applyAlignment="1">
      <alignment horizontal="center" vertical="center" wrapText="1"/>
    </xf>
    <xf numFmtId="0" fontId="2" fillId="7" borderId="61" xfId="1" applyFont="1" applyFill="1" applyBorder="1" applyAlignment="1">
      <alignment horizontal="center" vertical="center" wrapText="1"/>
    </xf>
    <xf numFmtId="0" fontId="2" fillId="7" borderId="0" xfId="1" applyFont="1" applyFill="1" applyBorder="1" applyAlignment="1">
      <alignment horizontal="center" vertical="center" wrapText="1"/>
    </xf>
    <xf numFmtId="2" fontId="4" fillId="12" borderId="73" xfId="1" applyNumberFormat="1" applyFont="1" applyFill="1" applyBorder="1" applyAlignment="1">
      <alignment horizontal="center" vertical="center"/>
    </xf>
    <xf numFmtId="2" fontId="2" fillId="6" borderId="14" xfId="1" applyNumberFormat="1" applyFont="1" applyFill="1" applyBorder="1" applyAlignment="1">
      <alignment horizontal="center" vertical="center"/>
    </xf>
    <xf numFmtId="2" fontId="4" fillId="6" borderId="5" xfId="1" applyNumberFormat="1" applyFont="1" applyFill="1" applyBorder="1" applyAlignment="1">
      <alignment horizontal="center" vertical="center"/>
    </xf>
    <xf numFmtId="2" fontId="2" fillId="6" borderId="5" xfId="1" applyNumberFormat="1" applyFont="1" applyFill="1" applyBorder="1" applyAlignment="1">
      <alignment horizontal="center" vertical="center"/>
    </xf>
    <xf numFmtId="2" fontId="4" fillId="6" borderId="0" xfId="1" applyNumberFormat="1" applyFont="1" applyFill="1" applyBorder="1" applyAlignment="1">
      <alignment horizontal="center" vertical="center"/>
    </xf>
    <xf numFmtId="2" fontId="2" fillId="6" borderId="16" xfId="1" applyNumberFormat="1" applyFont="1" applyFill="1" applyBorder="1" applyAlignment="1">
      <alignment horizontal="center" vertical="center"/>
    </xf>
    <xf numFmtId="167" fontId="2" fillId="6" borderId="37" xfId="1" applyNumberFormat="1" applyFont="1" applyFill="1" applyBorder="1" applyAlignment="1">
      <alignment horizontal="center" vertical="center"/>
    </xf>
    <xf numFmtId="167" fontId="2" fillId="6" borderId="33" xfId="1" applyNumberFormat="1" applyFont="1" applyFill="1" applyBorder="1" applyAlignment="1">
      <alignment horizontal="center" vertical="center"/>
    </xf>
    <xf numFmtId="167" fontId="2" fillId="6" borderId="44" xfId="1" applyNumberFormat="1" applyFont="1" applyFill="1" applyBorder="1" applyAlignment="1">
      <alignment horizontal="center" vertical="center"/>
    </xf>
    <xf numFmtId="164" fontId="2" fillId="6" borderId="57" xfId="1" applyNumberFormat="1" applyFont="1" applyFill="1" applyBorder="1" applyAlignment="1">
      <alignment horizontal="center" vertical="center"/>
    </xf>
    <xf numFmtId="164" fontId="2" fillId="6" borderId="74" xfId="1" applyNumberFormat="1" applyFont="1" applyFill="1" applyBorder="1" applyAlignment="1">
      <alignment horizontal="center" vertical="center"/>
    </xf>
    <xf numFmtId="164" fontId="2" fillId="6" borderId="40" xfId="1" applyNumberFormat="1" applyFont="1" applyFill="1" applyBorder="1" applyAlignment="1">
      <alignment horizontal="center" vertical="center"/>
    </xf>
    <xf numFmtId="164" fontId="2" fillId="6" borderId="55" xfId="1" applyNumberFormat="1" applyFont="1" applyFill="1" applyBorder="1" applyAlignment="1">
      <alignment horizontal="center" vertical="center"/>
    </xf>
    <xf numFmtId="2" fontId="4" fillId="6" borderId="15" xfId="1" applyNumberFormat="1" applyFont="1" applyFill="1" applyBorder="1" applyAlignment="1">
      <alignment horizontal="center" vertical="center"/>
    </xf>
    <xf numFmtId="2" fontId="2" fillId="6" borderId="37" xfId="1" applyNumberFormat="1" applyFont="1" applyFill="1" applyBorder="1" applyAlignment="1">
      <alignment horizontal="center" vertical="center"/>
    </xf>
    <xf numFmtId="164" fontId="2" fillId="6" borderId="75" xfId="1" applyNumberFormat="1" applyFont="1" applyFill="1" applyBorder="1" applyAlignment="1">
      <alignment horizontal="center" vertical="center"/>
    </xf>
    <xf numFmtId="164" fontId="2" fillId="6" borderId="33" xfId="1" applyNumberFormat="1" applyFont="1" applyFill="1" applyBorder="1" applyAlignment="1">
      <alignment horizontal="center" vertical="center" wrapText="1"/>
    </xf>
    <xf numFmtId="164" fontId="2" fillId="6" borderId="33" xfId="1" applyNumberFormat="1" applyFont="1" applyFill="1" applyBorder="1" applyAlignment="1">
      <alignment horizontal="center" vertical="center"/>
    </xf>
    <xf numFmtId="164" fontId="2" fillId="6" borderId="44" xfId="1" applyNumberFormat="1" applyFont="1" applyFill="1" applyBorder="1" applyAlignment="1">
      <alignment horizontal="center" vertical="center"/>
    </xf>
    <xf numFmtId="0" fontId="2" fillId="6" borderId="27" xfId="1" applyFont="1" applyFill="1" applyBorder="1" applyAlignment="1">
      <alignment vertical="center" wrapText="1"/>
    </xf>
    <xf numFmtId="0" fontId="2" fillId="6" borderId="5" xfId="1" applyFont="1" applyFill="1" applyBorder="1" applyAlignment="1">
      <alignment horizontal="center" vertical="center"/>
    </xf>
    <xf numFmtId="0" fontId="2" fillId="6" borderId="56" xfId="1" applyFont="1" applyFill="1" applyBorder="1" applyAlignment="1">
      <alignment horizontal="center" vertical="center"/>
    </xf>
    <xf numFmtId="0" fontId="2" fillId="6" borderId="3" xfId="1" applyFont="1" applyFill="1" applyBorder="1" applyAlignment="1">
      <alignment horizontal="center" vertical="center"/>
    </xf>
    <xf numFmtId="0" fontId="2" fillId="6" borderId="6" xfId="1" applyFont="1" applyFill="1" applyBorder="1" applyAlignment="1">
      <alignment horizontal="center" vertical="center"/>
    </xf>
    <xf numFmtId="167" fontId="2" fillId="0" borderId="7" xfId="1" applyNumberFormat="1" applyFont="1" applyFill="1" applyBorder="1" applyAlignment="1">
      <alignment horizontal="center" vertical="center"/>
    </xf>
    <xf numFmtId="167" fontId="2" fillId="0" borderId="8" xfId="1" applyNumberFormat="1" applyFont="1" applyFill="1" applyBorder="1" applyAlignment="1">
      <alignment horizontal="center" vertical="center"/>
    </xf>
    <xf numFmtId="167" fontId="2" fillId="6" borderId="58" xfId="1" applyNumberFormat="1" applyFont="1" applyFill="1" applyBorder="1" applyAlignment="1">
      <alignment horizontal="center" vertical="center"/>
    </xf>
    <xf numFmtId="1" fontId="2" fillId="10" borderId="9" xfId="1" applyNumberFormat="1" applyFont="1" applyFill="1" applyBorder="1" applyAlignment="1">
      <alignment horizontal="center" vertical="center"/>
    </xf>
    <xf numFmtId="1" fontId="2" fillId="10" borderId="11" xfId="1" applyNumberFormat="1" applyFont="1" applyFill="1" applyBorder="1" applyAlignment="1">
      <alignment horizontal="center" vertical="center"/>
    </xf>
    <xf numFmtId="167" fontId="2" fillId="6" borderId="59" xfId="1" applyNumberFormat="1" applyFont="1" applyFill="1" applyBorder="1" applyAlignment="1">
      <alignment horizontal="center" vertical="center"/>
    </xf>
    <xf numFmtId="167" fontId="2" fillId="0" borderId="45" xfId="1" applyNumberFormat="1" applyFont="1" applyBorder="1" applyAlignment="1">
      <alignment horizontal="center" vertical="center"/>
    </xf>
    <xf numFmtId="167" fontId="2" fillId="0" borderId="10" xfId="1" quotePrefix="1" applyNumberFormat="1" applyFont="1" applyBorder="1" applyAlignment="1">
      <alignment horizontal="center" vertical="center"/>
    </xf>
    <xf numFmtId="167" fontId="2" fillId="0" borderId="11" xfId="1" quotePrefix="1" applyNumberFormat="1" applyFont="1" applyBorder="1" applyAlignment="1">
      <alignment horizontal="center" vertical="center"/>
    </xf>
    <xf numFmtId="164" fontId="2" fillId="0" borderId="8" xfId="1" applyNumberFormat="1" applyFont="1" applyBorder="1" applyAlignment="1">
      <alignment horizontal="center" vertical="center"/>
    </xf>
    <xf numFmtId="164" fontId="2" fillId="0" borderId="10" xfId="1" quotePrefix="1" applyNumberFormat="1" applyFont="1" applyBorder="1" applyAlignment="1">
      <alignment horizontal="center" vertical="center"/>
    </xf>
    <xf numFmtId="164" fontId="2" fillId="0" borderId="11" xfId="1" quotePrefix="1" applyNumberFormat="1" applyFont="1" applyBorder="1" applyAlignment="1">
      <alignment horizontal="center" vertical="center"/>
    </xf>
    <xf numFmtId="0" fontId="2" fillId="6" borderId="13" xfId="1" applyFont="1" applyFill="1" applyBorder="1" applyAlignment="1">
      <alignment horizontal="right" vertical="center"/>
    </xf>
    <xf numFmtId="0" fontId="2" fillId="0" borderId="13" xfId="1" applyFont="1" applyBorder="1" applyAlignment="1">
      <alignment horizontal="left" vertical="center"/>
    </xf>
    <xf numFmtId="49" fontId="2" fillId="6" borderId="59" xfId="1" applyNumberFormat="1" applyFont="1" applyFill="1" applyBorder="1" applyAlignment="1">
      <alignment horizontal="center" vertical="center"/>
    </xf>
    <xf numFmtId="49" fontId="2" fillId="0" borderId="42" xfId="1" applyNumberFormat="1" applyFont="1" applyBorder="1" applyAlignment="1">
      <alignment horizontal="center" vertical="center"/>
    </xf>
    <xf numFmtId="0" fontId="2" fillId="0" borderId="59" xfId="1" applyFont="1" applyFill="1" applyBorder="1" applyAlignment="1">
      <alignment vertical="center"/>
    </xf>
    <xf numFmtId="167" fontId="2" fillId="0" borderId="18" xfId="1" applyNumberFormat="1" applyFont="1" applyFill="1" applyBorder="1" applyAlignment="1">
      <alignment horizontal="center" vertical="center"/>
    </xf>
    <xf numFmtId="167" fontId="2" fillId="0" borderId="28" xfId="1" applyNumberFormat="1" applyFont="1" applyFill="1" applyBorder="1" applyAlignment="1">
      <alignment horizontal="center" vertical="center"/>
    </xf>
    <xf numFmtId="167" fontId="2" fillId="6" borderId="0" xfId="1" applyNumberFormat="1" applyFont="1" applyFill="1" applyBorder="1" applyAlignment="1">
      <alignment horizontal="center" vertical="center"/>
    </xf>
    <xf numFmtId="167" fontId="2" fillId="6" borderId="61" xfId="1" applyNumberFormat="1" applyFont="1" applyFill="1" applyBorder="1" applyAlignment="1">
      <alignment horizontal="center" vertical="center"/>
    </xf>
    <xf numFmtId="167" fontId="2" fillId="6" borderId="76" xfId="1" applyNumberFormat="1" applyFont="1" applyFill="1" applyBorder="1" applyAlignment="1">
      <alignment horizontal="center" vertical="center"/>
    </xf>
    <xf numFmtId="167" fontId="2" fillId="6" borderId="12" xfId="1" applyNumberFormat="1" applyFont="1" applyFill="1" applyBorder="1" applyAlignment="1">
      <alignment horizontal="center" vertical="center"/>
    </xf>
    <xf numFmtId="167" fontId="2" fillId="0" borderId="46" xfId="1" applyNumberFormat="1" applyFont="1" applyFill="1" applyBorder="1" applyAlignment="1">
      <alignment horizontal="center" vertical="center"/>
    </xf>
    <xf numFmtId="167" fontId="2" fillId="0" borderId="30" xfId="1" applyNumberFormat="1" applyFont="1" applyFill="1" applyBorder="1" applyAlignment="1">
      <alignment horizontal="center" vertical="center"/>
    </xf>
    <xf numFmtId="167" fontId="2" fillId="0" borderId="31" xfId="1" applyNumberFormat="1" applyFont="1" applyFill="1" applyBorder="1" applyAlignment="1">
      <alignment horizontal="center" vertical="center"/>
    </xf>
    <xf numFmtId="164" fontId="2" fillId="6" borderId="12" xfId="1" applyNumberFormat="1" applyFont="1" applyFill="1" applyBorder="1" applyAlignment="1">
      <alignment horizontal="center" vertical="center"/>
    </xf>
    <xf numFmtId="164" fontId="2" fillId="0" borderId="32" xfId="1" applyNumberFormat="1" applyFont="1" applyFill="1" applyBorder="1" applyAlignment="1">
      <alignment horizontal="center" vertical="center"/>
    </xf>
    <xf numFmtId="164" fontId="2" fillId="0" borderId="30" xfId="1" applyNumberFormat="1" applyFont="1" applyFill="1" applyBorder="1" applyAlignment="1">
      <alignment horizontal="center" vertical="center"/>
    </xf>
    <xf numFmtId="164" fontId="2" fillId="0" borderId="31" xfId="1" applyNumberFormat="1" applyFont="1" applyFill="1" applyBorder="1" applyAlignment="1">
      <alignment horizontal="center" vertical="center"/>
    </xf>
    <xf numFmtId="0" fontId="2" fillId="6" borderId="23" xfId="1" applyFont="1" applyFill="1" applyBorder="1" applyAlignment="1">
      <alignment horizontal="right" vertical="center"/>
    </xf>
    <xf numFmtId="0" fontId="2" fillId="6" borderId="0" xfId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left" vertical="center"/>
    </xf>
    <xf numFmtId="0" fontId="2" fillId="6" borderId="12" xfId="1" applyFont="1" applyFill="1" applyBorder="1" applyAlignment="1">
      <alignment horizontal="center" vertical="center"/>
    </xf>
    <xf numFmtId="0" fontId="2" fillId="6" borderId="67" xfId="1" applyFont="1" applyFill="1" applyBorder="1" applyAlignment="1">
      <alignment horizontal="center" vertical="center"/>
    </xf>
    <xf numFmtId="0" fontId="2" fillId="6" borderId="77" xfId="1" applyFont="1" applyFill="1" applyBorder="1" applyAlignment="1">
      <alignment horizontal="center" vertical="center"/>
    </xf>
    <xf numFmtId="0" fontId="2" fillId="12" borderId="17" xfId="1" applyFont="1" applyFill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8" fillId="0" borderId="70" xfId="1" applyFont="1" applyFill="1" applyBorder="1" applyAlignment="1">
      <alignment horizontal="center" vertical="center" wrapText="1"/>
    </xf>
    <xf numFmtId="0" fontId="8" fillId="0" borderId="62" xfId="1" applyFont="1" applyFill="1" applyBorder="1" applyAlignment="1">
      <alignment horizontal="center" vertical="center" wrapText="1"/>
    </xf>
    <xf numFmtId="0" fontId="8" fillId="0" borderId="78" xfId="1" applyFont="1" applyFill="1" applyBorder="1" applyAlignment="1">
      <alignment horizontal="center" vertical="center" wrapText="1"/>
    </xf>
    <xf numFmtId="0" fontId="9" fillId="0" borderId="70" xfId="1" applyFont="1" applyFill="1" applyBorder="1" applyAlignment="1">
      <alignment vertical="center" wrapText="1"/>
    </xf>
    <xf numFmtId="0" fontId="9" fillId="0" borderId="29" xfId="1" applyFont="1" applyFill="1" applyBorder="1" applyAlignment="1">
      <alignment horizontal="center" vertical="center" wrapText="1"/>
    </xf>
    <xf numFmtId="0" fontId="9" fillId="0" borderId="62" xfId="1" applyFont="1" applyFill="1" applyBorder="1" applyAlignment="1">
      <alignment vertical="center" wrapText="1"/>
    </xf>
    <xf numFmtId="0" fontId="9" fillId="0" borderId="29" xfId="1" applyFont="1" applyFill="1" applyBorder="1" applyAlignment="1">
      <alignment vertical="center" wrapText="1"/>
    </xf>
    <xf numFmtId="0" fontId="9" fillId="0" borderId="78" xfId="1" applyFont="1" applyFill="1" applyBorder="1" applyAlignment="1">
      <alignment vertical="center" wrapText="1"/>
    </xf>
    <xf numFmtId="164" fontId="9" fillId="13" borderId="29" xfId="1" applyNumberFormat="1" applyFont="1" applyFill="1" applyBorder="1" applyAlignment="1">
      <alignment vertical="center" wrapText="1"/>
    </xf>
    <xf numFmtId="164" fontId="9" fillId="13" borderId="78" xfId="1" applyNumberFormat="1" applyFont="1" applyFill="1" applyBorder="1" applyAlignment="1">
      <alignment vertical="center" wrapText="1"/>
    </xf>
    <xf numFmtId="164" fontId="9" fillId="13" borderId="29" xfId="1" applyNumberFormat="1" applyFont="1" applyFill="1" applyBorder="1" applyAlignment="1">
      <alignment horizontal="center" vertical="center" wrapText="1"/>
    </xf>
    <xf numFmtId="164" fontId="9" fillId="13" borderId="31" xfId="1" applyNumberFormat="1" applyFont="1" applyFill="1" applyBorder="1" applyAlignment="1">
      <alignment vertical="center" wrapText="1"/>
    </xf>
    <xf numFmtId="0" fontId="4" fillId="6" borderId="23" xfId="1" applyFont="1" applyFill="1" applyBorder="1" applyAlignment="1">
      <alignment horizontal="right" vertical="center"/>
    </xf>
    <xf numFmtId="0" fontId="10" fillId="0" borderId="13" xfId="1" applyFont="1" applyFill="1" applyBorder="1" applyAlignment="1">
      <alignment horizontal="center" vertical="center" wrapText="1" shrinkToFit="1"/>
    </xf>
    <xf numFmtId="0" fontId="10" fillId="0" borderId="59" xfId="1" applyFont="1" applyFill="1" applyBorder="1" applyAlignment="1">
      <alignment horizontal="center" vertical="center" wrapText="1" shrinkToFit="1"/>
    </xf>
    <xf numFmtId="0" fontId="10" fillId="10" borderId="60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  <xf numFmtId="0" fontId="2" fillId="6" borderId="64" xfId="1" applyFont="1" applyFill="1" applyBorder="1" applyAlignment="1">
      <alignment horizontal="center" vertical="center" wrapText="1"/>
    </xf>
    <xf numFmtId="0" fontId="5" fillId="0" borderId="72" xfId="1" applyNumberFormat="1" applyFont="1" applyFill="1" applyBorder="1" applyAlignment="1">
      <alignment horizontal="center" vertical="center"/>
    </xf>
    <xf numFmtId="49" fontId="11" fillId="6" borderId="66" xfId="1" applyNumberFormat="1" applyFont="1" applyFill="1" applyBorder="1" applyAlignment="1">
      <alignment horizontal="center" vertical="center" wrapText="1"/>
    </xf>
    <xf numFmtId="49" fontId="11" fillId="6" borderId="79" xfId="1" applyNumberFormat="1" applyFont="1" applyFill="1" applyBorder="1" applyAlignment="1">
      <alignment horizontal="center" vertical="center" wrapText="1"/>
    </xf>
    <xf numFmtId="0" fontId="5" fillId="0" borderId="72" xfId="1" applyFont="1" applyFill="1" applyBorder="1" applyAlignment="1">
      <alignment horizontal="center" vertical="center"/>
    </xf>
    <xf numFmtId="0" fontId="11" fillId="6" borderId="66" xfId="1" applyFont="1" applyFill="1" applyBorder="1" applyAlignment="1">
      <alignment horizontal="center" vertical="center" wrapText="1"/>
    </xf>
    <xf numFmtId="0" fontId="11" fillId="6" borderId="79" xfId="1" applyFont="1" applyFill="1" applyBorder="1" applyAlignment="1">
      <alignment horizontal="center" vertical="center" wrapText="1"/>
    </xf>
    <xf numFmtId="0" fontId="12" fillId="6" borderId="72" xfId="1" applyFont="1" applyFill="1" applyBorder="1" applyAlignment="1">
      <alignment horizontal="center" vertical="center" wrapText="1"/>
    </xf>
    <xf numFmtId="0" fontId="12" fillId="6" borderId="66" xfId="1" applyFont="1" applyFill="1" applyBorder="1" applyAlignment="1">
      <alignment horizontal="center" vertical="center" wrapText="1"/>
    </xf>
    <xf numFmtId="0" fontId="12" fillId="6" borderId="79" xfId="1" applyFont="1" applyFill="1" applyBorder="1" applyAlignment="1">
      <alignment horizontal="center" vertical="center" wrapText="1"/>
    </xf>
    <xf numFmtId="164" fontId="12" fillId="6" borderId="72" xfId="1" applyNumberFormat="1" applyFont="1" applyFill="1" applyBorder="1" applyAlignment="1">
      <alignment horizontal="center" vertical="center" wrapText="1"/>
    </xf>
    <xf numFmtId="164" fontId="12" fillId="6" borderId="66" xfId="1" applyNumberFormat="1" applyFont="1" applyFill="1" applyBorder="1" applyAlignment="1">
      <alignment horizontal="center" vertical="center" wrapText="1"/>
    </xf>
    <xf numFmtId="164" fontId="12" fillId="6" borderId="79" xfId="1" applyNumberFormat="1" applyFont="1" applyFill="1" applyBorder="1" applyAlignment="1">
      <alignment horizontal="center" vertical="center" wrapText="1"/>
    </xf>
    <xf numFmtId="0" fontId="4" fillId="6" borderId="38" xfId="1" applyFont="1" applyFill="1" applyBorder="1" applyAlignment="1">
      <alignment horizontal="right" vertical="center"/>
    </xf>
    <xf numFmtId="0" fontId="2" fillId="6" borderId="68" xfId="1" applyFont="1" applyFill="1" applyBorder="1" applyAlignment="1">
      <alignment horizontal="center" vertical="center"/>
    </xf>
    <xf numFmtId="0" fontId="10" fillId="6" borderId="38" xfId="1" applyFont="1" applyFill="1" applyBorder="1" applyAlignment="1">
      <alignment horizontal="center" vertical="center"/>
    </xf>
    <xf numFmtId="0" fontId="10" fillId="6" borderId="77" xfId="1" applyFont="1" applyFill="1" applyBorder="1" applyAlignment="1">
      <alignment horizontal="center" vertical="center"/>
    </xf>
    <xf numFmtId="0" fontId="10" fillId="6" borderId="67" xfId="1" applyFont="1" applyFill="1" applyBorder="1" applyAlignment="1">
      <alignment horizontal="center" vertical="center" wrapText="1"/>
    </xf>
    <xf numFmtId="0" fontId="10" fillId="6" borderId="77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 wrapText="1"/>
    </xf>
    <xf numFmtId="164" fontId="2" fillId="0" borderId="0" xfId="1" applyNumberFormat="1" applyFont="1" applyFill="1" applyBorder="1" applyAlignment="1">
      <alignment vertical="center" wrapText="1"/>
    </xf>
    <xf numFmtId="0" fontId="2" fillId="10" borderId="72" xfId="1" applyFont="1" applyFill="1" applyBorder="1" applyAlignment="1">
      <alignment horizontal="right" vertical="center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11" fillId="4" borderId="3" xfId="1" applyFont="1" applyFill="1" applyBorder="1" applyAlignment="1">
      <alignment vertical="center"/>
    </xf>
    <xf numFmtId="0" fontId="11" fillId="4" borderId="4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13" fillId="0" borderId="0" xfId="1" applyFont="1" applyAlignment="1">
      <alignment vertical="center"/>
    </xf>
  </cellXfs>
  <cellStyles count="3">
    <cellStyle name="Normální" xfId="0" builtinId="0"/>
    <cellStyle name="Normální 2" xfId="1"/>
    <cellStyle name="Procenta 2" xfId="2"/>
  </cellStyles>
  <dxfs count="8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/>
        <color theme="0" tint="-0.34998626667073579"/>
      </font>
      <fill>
        <patternFill>
          <fgColor indexed="64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952315</xdr:colOff>
      <xdr:row>0</xdr:row>
      <xdr:rowOff>363772</xdr:rowOff>
    </xdr:to>
    <xdr:sp macro="[0]!SkocNaKonec" textlink="">
      <xdr:nvSpPr>
        <xdr:cNvPr id="2" name="Obdélník 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 bwMode="auto">
        <a:xfrm>
          <a:off x="1" y="0"/>
          <a:ext cx="624654" cy="165652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latin typeface="+mn-lt"/>
            </a:rPr>
            <a:t>SKOČ</a:t>
          </a:r>
          <a:r>
            <a:rPr lang="cs-CZ" sz="1100" b="1" u="sng" baseline="0">
              <a:latin typeface="+mn-lt"/>
            </a:rPr>
            <a:t> NA KONEC</a:t>
          </a:r>
          <a:endParaRPr lang="cs-CZ" sz="1100" b="1" u="sng">
            <a:latin typeface="+mn-lt"/>
          </a:endParaRPr>
        </a:p>
      </xdr:txBody>
    </xdr:sp>
    <xdr:clientData fPrintsWithSheet="0"/>
  </xdr:twoCellAnchor>
  <xdr:twoCellAnchor>
    <xdr:from>
      <xdr:col>3</xdr:col>
      <xdr:colOff>1994002</xdr:colOff>
      <xdr:row>0</xdr:row>
      <xdr:rowOff>15240</xdr:rowOff>
    </xdr:from>
    <xdr:to>
      <xdr:col>3</xdr:col>
      <xdr:colOff>2531153</xdr:colOff>
      <xdr:row>0</xdr:row>
      <xdr:rowOff>362083</xdr:rowOff>
    </xdr:to>
    <xdr:sp macro="[0]!SkryjVse" textlink="">
      <xdr:nvSpPr>
        <xdr:cNvPr id="3" name="Obdélník 2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spect="1"/>
        </xdr:cNvSpPr>
      </xdr:nvSpPr>
      <xdr:spPr bwMode="auto">
        <a:xfrm>
          <a:off x="2496922" y="15240"/>
          <a:ext cx="3751" cy="148723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latin typeface="+mn-lt"/>
            </a:rPr>
            <a:t>Skryj  VŠE</a:t>
          </a:r>
        </a:p>
      </xdr:txBody>
    </xdr:sp>
    <xdr:clientData fPrintsWithSheet="0"/>
  </xdr:twoCellAnchor>
  <xdr:twoCellAnchor>
    <xdr:from>
      <xdr:col>3</xdr:col>
      <xdr:colOff>1087441</xdr:colOff>
      <xdr:row>0</xdr:row>
      <xdr:rowOff>16329</xdr:rowOff>
    </xdr:from>
    <xdr:to>
      <xdr:col>3</xdr:col>
      <xdr:colOff>1953986</xdr:colOff>
      <xdr:row>0</xdr:row>
      <xdr:rowOff>363172</xdr:rowOff>
    </xdr:to>
    <xdr:sp macro="[0]!SkryjVse" textlink="">
      <xdr:nvSpPr>
        <xdr:cNvPr id="4" name="Obdélník 3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spect="1"/>
        </xdr:cNvSpPr>
      </xdr:nvSpPr>
      <xdr:spPr bwMode="auto">
        <a:xfrm>
          <a:off x="2497141" y="16329"/>
          <a:ext cx="5485" cy="148723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latin typeface="+mn-lt"/>
            </a:rPr>
            <a:t>POUZE CELK. SOUČTY</a:t>
          </a:r>
        </a:p>
      </xdr:txBody>
    </xdr:sp>
    <xdr:clientData fPrintsWithSheet="0"/>
  </xdr:twoCellAnchor>
  <xdr:twoCellAnchor>
    <xdr:from>
      <xdr:col>3</xdr:col>
      <xdr:colOff>3185140</xdr:colOff>
      <xdr:row>0</xdr:row>
      <xdr:rowOff>15240</xdr:rowOff>
    </xdr:from>
    <xdr:to>
      <xdr:col>3</xdr:col>
      <xdr:colOff>4050196</xdr:colOff>
      <xdr:row>0</xdr:row>
      <xdr:rowOff>362083</xdr:rowOff>
    </xdr:to>
    <xdr:sp macro="[0]!BezDR" textlink="">
      <xdr:nvSpPr>
        <xdr:cNvPr id="5" name="Obdélník 4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spect="1"/>
        </xdr:cNvSpPr>
      </xdr:nvSpPr>
      <xdr:spPr bwMode="auto">
        <a:xfrm>
          <a:off x="2499340" y="15240"/>
          <a:ext cx="0" cy="148723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latin typeface="+mn-lt"/>
            </a:rPr>
            <a:t>Bez databází rizik</a:t>
          </a:r>
        </a:p>
      </xdr:txBody>
    </xdr:sp>
    <xdr:clientData fPrintsWithSheet="0"/>
  </xdr:twoCellAnchor>
  <xdr:twoCellAnchor>
    <xdr:from>
      <xdr:col>3</xdr:col>
      <xdr:colOff>2573336</xdr:colOff>
      <xdr:row>0</xdr:row>
      <xdr:rowOff>15240</xdr:rowOff>
    </xdr:from>
    <xdr:to>
      <xdr:col>3</xdr:col>
      <xdr:colOff>3110487</xdr:colOff>
      <xdr:row>0</xdr:row>
      <xdr:rowOff>362083</xdr:rowOff>
    </xdr:to>
    <xdr:sp macro="[0]!ZobrazVse" textlink="">
      <xdr:nvSpPr>
        <xdr:cNvPr id="6" name="Obdélník 5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spect="1"/>
        </xdr:cNvSpPr>
      </xdr:nvSpPr>
      <xdr:spPr bwMode="auto">
        <a:xfrm>
          <a:off x="2497136" y="15240"/>
          <a:ext cx="3751" cy="148723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latin typeface="+mn-lt"/>
            </a:rPr>
            <a:t>Zobraz  VŠE</a:t>
          </a:r>
        </a:p>
      </xdr:txBody>
    </xdr:sp>
    <xdr:clientData fPrintsWithSheet="0"/>
  </xdr:twoCellAnchor>
  <xdr:twoCellAnchor>
    <xdr:from>
      <xdr:col>0</xdr:col>
      <xdr:colOff>1021319</xdr:colOff>
      <xdr:row>0</xdr:row>
      <xdr:rowOff>0</xdr:rowOff>
    </xdr:from>
    <xdr:to>
      <xdr:col>3</xdr:col>
      <xdr:colOff>910700</xdr:colOff>
      <xdr:row>0</xdr:row>
      <xdr:rowOff>360158</xdr:rowOff>
    </xdr:to>
    <xdr:grpSp>
      <xdr:nvGrpSpPr>
        <xdr:cNvPr id="7" name="Skupina 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1021319" y="0"/>
          <a:ext cx="2945848" cy="360158"/>
          <a:chOff x="1277133" y="0"/>
          <a:chExt cx="2850295" cy="360158"/>
        </a:xfrm>
      </xdr:grpSpPr>
      <xdr:sp macro="[0]!Zobraz1" textlink="">
        <xdr:nvSpPr>
          <xdr:cNvPr id="8" name="Obdélník 7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>
            <a:spLocks/>
          </xdr:cNvSpPr>
        </xdr:nvSpPr>
        <xdr:spPr bwMode="auto">
          <a:xfrm>
            <a:off x="1277133" y="0"/>
            <a:ext cx="540171" cy="360158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latin typeface="+mn-lt"/>
              </a:rPr>
              <a:t>Zobraz </a:t>
            </a:r>
          </a:p>
          <a:p>
            <a:pPr algn="ctr"/>
            <a:r>
              <a:rPr lang="cs-CZ" sz="1100" b="1" u="sng">
                <a:latin typeface="+mn-lt"/>
              </a:rPr>
              <a:t>1</a:t>
            </a:r>
          </a:p>
        </xdr:txBody>
      </xdr:sp>
      <xdr:sp macro="[0]!Zobraz2" textlink="">
        <xdr:nvSpPr>
          <xdr:cNvPr id="9" name="Obdélník 8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/>
          </xdr:cNvSpPr>
        </xdr:nvSpPr>
        <xdr:spPr bwMode="auto">
          <a:xfrm>
            <a:off x="1853119" y="0"/>
            <a:ext cx="540171" cy="36000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Zobraz </a:t>
            </a:r>
            <a:endParaRPr lang="cs-CZ">
              <a:effectLst/>
            </a:endParaRPr>
          </a:p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2</a:t>
            </a:r>
            <a:endParaRPr lang="cs-CZ">
              <a:effectLst/>
            </a:endParaRPr>
          </a:p>
        </xdr:txBody>
      </xdr:sp>
      <xdr:sp macro="[0]!Zobraz3" textlink="">
        <xdr:nvSpPr>
          <xdr:cNvPr id="10" name="Obdélník 9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>
            <a:spLocks/>
          </xdr:cNvSpPr>
        </xdr:nvSpPr>
        <xdr:spPr bwMode="auto">
          <a:xfrm>
            <a:off x="2439291" y="0"/>
            <a:ext cx="540171" cy="36000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Zobraz </a:t>
            </a:r>
            <a:endParaRPr lang="cs-CZ">
              <a:effectLst/>
            </a:endParaRPr>
          </a:p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3</a:t>
            </a:r>
            <a:endParaRPr lang="cs-CZ">
              <a:effectLst/>
            </a:endParaRPr>
          </a:p>
        </xdr:txBody>
      </xdr:sp>
      <xdr:sp macro="[0]!Zobraz4" textlink="">
        <xdr:nvSpPr>
          <xdr:cNvPr id="11" name="Obdélník 10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>
            <a:spLocks/>
          </xdr:cNvSpPr>
        </xdr:nvSpPr>
        <xdr:spPr bwMode="auto">
          <a:xfrm>
            <a:off x="3012255" y="0"/>
            <a:ext cx="540171" cy="36000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Zobraz </a:t>
            </a:r>
            <a:endParaRPr lang="cs-CZ">
              <a:effectLst/>
            </a:endParaRPr>
          </a:p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4</a:t>
            </a:r>
            <a:endParaRPr lang="cs-CZ">
              <a:effectLst/>
            </a:endParaRPr>
          </a:p>
        </xdr:txBody>
      </xdr:sp>
      <xdr:sp macro="[0]!Zobraz5" textlink="">
        <xdr:nvSpPr>
          <xdr:cNvPr id="12" name="Obdélník 11">
            <a:extLst>
              <a:ext uri="{FF2B5EF4-FFF2-40B4-BE49-F238E27FC236}">
                <a16:creationId xmlns:a16="http://schemas.microsoft.com/office/drawing/2014/main" id="{00000000-0008-0000-0300-000015000000}"/>
              </a:ext>
            </a:extLst>
          </xdr:cNvPr>
          <xdr:cNvSpPr>
            <a:spLocks/>
          </xdr:cNvSpPr>
        </xdr:nvSpPr>
        <xdr:spPr bwMode="auto">
          <a:xfrm>
            <a:off x="3587257" y="0"/>
            <a:ext cx="540171" cy="36000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Zobraz </a:t>
            </a:r>
            <a:endParaRPr lang="cs-CZ">
              <a:effectLst/>
            </a:endParaRPr>
          </a:p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5</a:t>
            </a:r>
            <a:endParaRPr lang="cs-CZ">
              <a:effectLst/>
            </a:endParaRPr>
          </a:p>
        </xdr:txBody>
      </xdr:sp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iloha_H_CHrK_v&#253;m&#283;ry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tatní naklady na přípravu"/>
      <sheetName val="Zadani "/>
      <sheetName val="Zadání SSZ"/>
      <sheetName val="VZOR 80"/>
      <sheetName val="VZOR 81"/>
      <sheetName val="VZOR 83"/>
      <sheetName val="Changelog"/>
      <sheetName val="Tab H1"/>
      <sheetName val="Tab H1 výpočet"/>
    </sheetNames>
    <sheetDataSet>
      <sheetData sheetId="0">
        <row r="35">
          <cell r="T35">
            <v>0</v>
          </cell>
        </row>
        <row r="36">
          <cell r="T36">
            <v>0</v>
          </cell>
        </row>
        <row r="37">
          <cell r="T37">
            <v>2.1458933199999999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51">
          <cell r="T51">
            <v>0</v>
          </cell>
        </row>
        <row r="52">
          <cell r="T52">
            <v>0</v>
          </cell>
        </row>
        <row r="53">
          <cell r="T53">
            <v>4.4480000000000002E-4</v>
          </cell>
        </row>
        <row r="54">
          <cell r="T54">
            <v>0</v>
          </cell>
        </row>
        <row r="55">
          <cell r="T55">
            <v>0.14000000000000001</v>
          </cell>
        </row>
        <row r="56">
          <cell r="T56">
            <v>9.6</v>
          </cell>
        </row>
        <row r="57">
          <cell r="T57">
            <v>0.59192</v>
          </cell>
        </row>
        <row r="58">
          <cell r="T58">
            <v>0</v>
          </cell>
        </row>
        <row r="59">
          <cell r="T59">
            <v>0</v>
          </cell>
        </row>
        <row r="62">
          <cell r="T62">
            <v>12.47825812</v>
          </cell>
        </row>
      </sheetData>
      <sheetData sheetId="1">
        <row r="2">
          <cell r="C2" t="str">
            <v>Modernizace traťového úseku Chlumec nad Cidlinou (mimo) – Hradec Králové (mimo)</v>
          </cell>
        </row>
        <row r="5">
          <cell r="C5">
            <v>2021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6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3"/>
  <dimension ref="A1:DM2668"/>
  <sheetViews>
    <sheetView showGridLines="0" showZeros="0" tabSelected="1" view="pageBreakPreview" zoomScale="90" zoomScaleNormal="80" zoomScaleSheetLayoutView="90" workbookViewId="0">
      <pane xSplit="7" ySplit="6" topLeftCell="H7" activePane="bottomRight" state="frozen"/>
      <selection pane="topRight" activeCell="F1" sqref="F1"/>
      <selection pane="bottomLeft" activeCell="A7" sqref="A7"/>
      <selection pane="bottomRight" activeCell="I1" sqref="I1:N1"/>
    </sheetView>
  </sheetViews>
  <sheetFormatPr defaultColWidth="7.453125" defaultRowHeight="13.2" x14ac:dyDescent="0.25"/>
  <cols>
    <col min="1" max="1" width="15.81640625" style="1" customWidth="1"/>
    <col min="2" max="2" width="13.90625" style="1" customWidth="1"/>
    <col min="3" max="3" width="6.6328125" style="1" bestFit="1" customWidth="1"/>
    <col min="4" max="4" width="49.81640625" style="1" customWidth="1"/>
    <col min="5" max="5" width="11.7265625" style="3" customWidth="1"/>
    <col min="6" max="7" width="12.81640625" style="1" customWidth="1"/>
    <col min="8" max="8" width="3.36328125" style="1" customWidth="1"/>
    <col min="9" max="10" width="9" style="2" bestFit="1" customWidth="1"/>
    <col min="11" max="11" width="9.08984375" style="2" customWidth="1"/>
    <col min="12" max="13" width="9" style="2" customWidth="1"/>
    <col min="14" max="14" width="12.7265625" style="2" customWidth="1"/>
    <col min="15" max="15" width="4.6328125" style="1" customWidth="1"/>
    <col min="16" max="16" width="10.36328125" style="1" customWidth="1"/>
    <col min="17" max="17" width="4.08984375" style="1" customWidth="1"/>
    <col min="18" max="23" width="4.90625" style="1" customWidth="1"/>
    <col min="24" max="24" width="10.36328125" style="1" customWidth="1"/>
    <col min="25" max="25" width="3.54296875" style="1" customWidth="1"/>
    <col min="26" max="29" width="9" style="2" bestFit="1" customWidth="1"/>
    <col min="30" max="30" width="9.81640625" style="2" bestFit="1" customWidth="1"/>
    <col min="31" max="31" width="11.90625" style="2" customWidth="1"/>
    <col min="32" max="32" width="4.6328125" style="1" customWidth="1"/>
    <col min="33" max="33" width="10.36328125" style="1" customWidth="1"/>
    <col min="34" max="40" width="4.90625" style="1" customWidth="1"/>
    <col min="41" max="41" width="10.36328125" style="1" customWidth="1"/>
    <col min="42" max="42" width="3.54296875" style="1" customWidth="1"/>
    <col min="43" max="43" width="9.81640625" style="1" bestFit="1" customWidth="1"/>
    <col min="44" max="47" width="7.90625" style="1" customWidth="1"/>
    <col min="48" max="48" width="9.90625" style="1" customWidth="1"/>
    <col min="49" max="49" width="4.6328125" style="1" customWidth="1"/>
    <col min="50" max="50" width="10.36328125" style="1" customWidth="1"/>
    <col min="51" max="57" width="4.90625" style="1" customWidth="1"/>
    <col min="58" max="58" width="10.36328125" style="1" customWidth="1"/>
    <col min="59" max="59" width="3.54296875" style="1" hidden="1" customWidth="1"/>
    <col min="60" max="64" width="7.90625" style="1" hidden="1" customWidth="1"/>
    <col min="65" max="65" width="8.7265625" style="1" hidden="1" customWidth="1"/>
    <col min="66" max="66" width="4.6328125" style="1" hidden="1" customWidth="1"/>
    <col min="67" max="67" width="10.36328125" style="1" hidden="1" customWidth="1"/>
    <col min="68" max="74" width="4.90625" style="1" hidden="1" customWidth="1"/>
    <col min="75" max="75" width="10.36328125" style="1" hidden="1" customWidth="1"/>
    <col min="76" max="76" width="3.54296875" style="1" hidden="1" customWidth="1"/>
    <col min="77" max="81" width="7.90625" style="1" hidden="1" customWidth="1"/>
    <col min="82" max="82" width="8.7265625" style="1" hidden="1" customWidth="1"/>
    <col min="83" max="83" width="4.6328125" style="1" hidden="1" customWidth="1"/>
    <col min="84" max="84" width="10.36328125" style="1" hidden="1" customWidth="1"/>
    <col min="85" max="91" width="4.90625" style="1" hidden="1" customWidth="1"/>
    <col min="92" max="92" width="10.36328125" style="1" hidden="1" customWidth="1"/>
    <col min="93" max="93" width="3.54296875" style="1" customWidth="1"/>
    <col min="94" max="94" width="4.36328125" style="1" customWidth="1"/>
    <col min="95" max="95" width="12.7265625" style="1" customWidth="1"/>
    <col min="96" max="96" width="2.7265625" style="1" customWidth="1"/>
    <col min="97" max="97" width="13.453125" style="1" hidden="1" customWidth="1"/>
    <col min="98" max="98" width="2.36328125" style="1" customWidth="1"/>
    <col min="99" max="99" width="14.26953125" style="1" customWidth="1"/>
    <col min="100" max="100" width="15.81640625" style="1" bestFit="1" customWidth="1"/>
    <col min="101" max="101" width="7.453125" style="1" customWidth="1"/>
    <col min="102" max="102" width="17.08984375" style="1" customWidth="1"/>
    <col min="103" max="107" width="7.453125" style="1" customWidth="1"/>
    <col min="108" max="109" width="8.08984375" style="1" bestFit="1" customWidth="1"/>
    <col min="110" max="111" width="7.453125" style="1" customWidth="1"/>
    <col min="112" max="112" width="10.6328125" style="1" bestFit="1" customWidth="1"/>
    <col min="113" max="116" width="7.453125" style="1" customWidth="1"/>
    <col min="117" max="117" width="10.6328125" style="1" bestFit="1" customWidth="1"/>
    <col min="118" max="211" width="7.453125" style="1" customWidth="1"/>
    <col min="212" max="16384" width="7.453125" style="1"/>
  </cols>
  <sheetData>
    <row r="1" spans="1:102" ht="32.25" customHeight="1" thickBot="1" x14ac:dyDescent="0.3">
      <c r="A1" s="556"/>
      <c r="B1" s="555"/>
      <c r="C1" s="554"/>
      <c r="D1" s="553"/>
      <c r="E1" s="552" t="s">
        <v>618</v>
      </c>
      <c r="F1" s="551"/>
      <c r="G1" s="550"/>
      <c r="I1" s="549"/>
      <c r="J1" s="549"/>
      <c r="K1" s="549"/>
      <c r="L1" s="549"/>
      <c r="M1" s="549"/>
      <c r="N1" s="549"/>
      <c r="O1" s="548"/>
      <c r="P1" s="548">
        <v>1</v>
      </c>
      <c r="Q1" s="548">
        <v>4</v>
      </c>
      <c r="R1" s="548">
        <v>4</v>
      </c>
      <c r="S1" s="548">
        <v>4</v>
      </c>
      <c r="T1" s="548">
        <v>4</v>
      </c>
      <c r="U1" s="548">
        <v>4</v>
      </c>
      <c r="V1" s="548">
        <v>4</v>
      </c>
      <c r="W1" s="548"/>
      <c r="X1" s="548">
        <v>2</v>
      </c>
      <c r="Z1" s="549">
        <v>3</v>
      </c>
      <c r="AA1" s="549">
        <v>3</v>
      </c>
      <c r="AB1" s="549">
        <v>3</v>
      </c>
      <c r="AC1" s="549">
        <v>3</v>
      </c>
      <c r="AD1" s="549">
        <v>3</v>
      </c>
      <c r="AE1" s="549"/>
      <c r="AF1" s="548"/>
      <c r="AG1" s="548">
        <v>1</v>
      </c>
      <c r="AH1" s="548">
        <v>4</v>
      </c>
      <c r="AI1" s="548">
        <v>4</v>
      </c>
      <c r="AJ1" s="548">
        <v>4</v>
      </c>
      <c r="AK1" s="548">
        <v>4</v>
      </c>
      <c r="AL1" s="548">
        <v>4</v>
      </c>
      <c r="AM1" s="548">
        <v>4</v>
      </c>
      <c r="AN1" s="548"/>
      <c r="AO1" s="548">
        <v>2</v>
      </c>
      <c r="AQ1" s="548">
        <v>3</v>
      </c>
      <c r="AR1" s="548">
        <v>3</v>
      </c>
      <c r="AS1" s="548">
        <v>3</v>
      </c>
      <c r="AT1" s="548">
        <v>3</v>
      </c>
      <c r="AU1" s="548">
        <v>3</v>
      </c>
      <c r="AV1" s="548"/>
      <c r="AW1" s="548"/>
      <c r="AX1" s="548">
        <v>1</v>
      </c>
      <c r="AY1" s="548">
        <v>4</v>
      </c>
      <c r="AZ1" s="548">
        <v>4</v>
      </c>
      <c r="BA1" s="548">
        <v>4</v>
      </c>
      <c r="BB1" s="548">
        <v>4</v>
      </c>
      <c r="BC1" s="548">
        <v>4</v>
      </c>
      <c r="BD1" s="548">
        <v>4</v>
      </c>
      <c r="BE1" s="548"/>
      <c r="BF1" s="548">
        <v>2</v>
      </c>
      <c r="BH1" s="548">
        <v>3</v>
      </c>
      <c r="BI1" s="548">
        <v>3</v>
      </c>
      <c r="BJ1" s="548">
        <v>3</v>
      </c>
      <c r="BK1" s="548">
        <v>3</v>
      </c>
      <c r="BL1" s="548">
        <v>3</v>
      </c>
      <c r="BM1" s="548"/>
      <c r="BN1" s="548"/>
      <c r="BO1" s="548">
        <v>1</v>
      </c>
      <c r="BP1" s="548">
        <v>4</v>
      </c>
      <c r="BQ1" s="548">
        <v>4</v>
      </c>
      <c r="BR1" s="548">
        <v>4</v>
      </c>
      <c r="BS1" s="548">
        <v>4</v>
      </c>
      <c r="BT1" s="548">
        <v>4</v>
      </c>
      <c r="BU1" s="548">
        <v>4</v>
      </c>
      <c r="BV1" s="548"/>
      <c r="BW1" s="548">
        <v>2</v>
      </c>
      <c r="BY1" s="548">
        <v>3</v>
      </c>
      <c r="BZ1" s="548">
        <v>3</v>
      </c>
      <c r="CA1" s="548">
        <v>3</v>
      </c>
      <c r="CB1" s="548">
        <v>3</v>
      </c>
      <c r="CC1" s="548">
        <v>3</v>
      </c>
      <c r="CD1" s="548"/>
      <c r="CE1" s="548"/>
      <c r="CF1" s="548">
        <v>1</v>
      </c>
      <c r="CG1" s="548">
        <v>4</v>
      </c>
      <c r="CH1" s="548">
        <v>4</v>
      </c>
      <c r="CI1" s="548">
        <v>4</v>
      </c>
      <c r="CJ1" s="548">
        <v>4</v>
      </c>
      <c r="CK1" s="548">
        <v>4</v>
      </c>
      <c r="CL1" s="548">
        <v>4</v>
      </c>
      <c r="CM1" s="548"/>
      <c r="CN1" s="548">
        <v>2</v>
      </c>
      <c r="CP1" s="6"/>
      <c r="CQ1" s="6"/>
      <c r="CR1" s="6"/>
      <c r="CS1" s="6"/>
      <c r="CU1" s="6"/>
    </row>
    <row r="2" spans="1:102" ht="33" customHeight="1" x14ac:dyDescent="0.25">
      <c r="A2" s="547" t="s">
        <v>617</v>
      </c>
      <c r="B2" s="546" t="s">
        <v>616</v>
      </c>
      <c r="C2" s="545" t="s">
        <v>615</v>
      </c>
      <c r="D2" s="544"/>
      <c r="E2" s="543"/>
      <c r="F2" s="542"/>
      <c r="G2" s="542" t="s">
        <v>614</v>
      </c>
      <c r="I2" s="541" t="s">
        <v>613</v>
      </c>
      <c r="J2" s="540"/>
      <c r="K2" s="540"/>
      <c r="L2" s="540"/>
      <c r="M2" s="539"/>
      <c r="N2" s="535" t="s">
        <v>611</v>
      </c>
      <c r="O2" s="534"/>
      <c r="P2" s="533">
        <v>1</v>
      </c>
      <c r="Q2" s="532" t="s">
        <v>610</v>
      </c>
      <c r="R2" s="531"/>
      <c r="S2" s="531"/>
      <c r="T2" s="531"/>
      <c r="U2" s="531"/>
      <c r="V2" s="531"/>
      <c r="W2" s="531"/>
      <c r="X2" s="530" t="str">
        <f>CONCATENATE(P2,"-R")</f>
        <v>1-R</v>
      </c>
      <c r="Z2" s="541" t="s">
        <v>613</v>
      </c>
      <c r="AA2" s="540"/>
      <c r="AB2" s="540"/>
      <c r="AC2" s="540"/>
      <c r="AD2" s="539"/>
      <c r="AE2" s="535" t="s">
        <v>611</v>
      </c>
      <c r="AF2" s="534"/>
      <c r="AG2" s="533">
        <v>2</v>
      </c>
      <c r="AH2" s="532" t="s">
        <v>610</v>
      </c>
      <c r="AI2" s="531"/>
      <c r="AJ2" s="531"/>
      <c r="AK2" s="531"/>
      <c r="AL2" s="531"/>
      <c r="AM2" s="531"/>
      <c r="AN2" s="531"/>
      <c r="AO2" s="530" t="str">
        <f>CONCATENATE(AG2,"-R")</f>
        <v>2-R</v>
      </c>
      <c r="AQ2" s="538" t="s">
        <v>613</v>
      </c>
      <c r="AR2" s="537"/>
      <c r="AS2" s="537"/>
      <c r="AT2" s="537"/>
      <c r="AU2" s="536"/>
      <c r="AV2" s="535" t="s">
        <v>611</v>
      </c>
      <c r="AW2" s="534"/>
      <c r="AX2" s="533">
        <v>3</v>
      </c>
      <c r="AY2" s="532" t="s">
        <v>610</v>
      </c>
      <c r="AZ2" s="531"/>
      <c r="BA2" s="531"/>
      <c r="BB2" s="531"/>
      <c r="BC2" s="531"/>
      <c r="BD2" s="531"/>
      <c r="BE2" s="531"/>
      <c r="BF2" s="530" t="str">
        <f>CONCATENATE(AX2,"-R")</f>
        <v>3-R</v>
      </c>
      <c r="BH2" s="538" t="s">
        <v>612</v>
      </c>
      <c r="BI2" s="537"/>
      <c r="BJ2" s="537"/>
      <c r="BK2" s="537"/>
      <c r="BL2" s="536"/>
      <c r="BM2" s="535" t="s">
        <v>611</v>
      </c>
      <c r="BN2" s="534"/>
      <c r="BO2" s="533">
        <f>AX2+1</f>
        <v>4</v>
      </c>
      <c r="BP2" s="532" t="s">
        <v>610</v>
      </c>
      <c r="BQ2" s="531"/>
      <c r="BR2" s="531"/>
      <c r="BS2" s="531"/>
      <c r="BT2" s="531"/>
      <c r="BU2" s="531"/>
      <c r="BV2" s="531"/>
      <c r="BW2" s="530" t="str">
        <f>CONCATENATE(BO2,"-R")</f>
        <v>4-R</v>
      </c>
      <c r="BY2" s="538"/>
      <c r="BZ2" s="537"/>
      <c r="CA2" s="537"/>
      <c r="CB2" s="537"/>
      <c r="CC2" s="536"/>
      <c r="CD2" s="535" t="s">
        <v>611</v>
      </c>
      <c r="CE2" s="534"/>
      <c r="CF2" s="533">
        <f>BO2+1</f>
        <v>5</v>
      </c>
      <c r="CG2" s="532" t="s">
        <v>610</v>
      </c>
      <c r="CH2" s="531"/>
      <c r="CI2" s="531"/>
      <c r="CJ2" s="531"/>
      <c r="CK2" s="531"/>
      <c r="CL2" s="531"/>
      <c r="CM2" s="531"/>
      <c r="CN2" s="530" t="str">
        <f>CONCATENATE(CF2,"-R")</f>
        <v>5-R</v>
      </c>
      <c r="CP2" s="6"/>
      <c r="CQ2" s="529" t="s">
        <v>609</v>
      </c>
      <c r="CR2" s="6"/>
      <c r="CS2" s="529" t="s">
        <v>608</v>
      </c>
      <c r="CU2" s="529" t="s">
        <v>607</v>
      </c>
    </row>
    <row r="3" spans="1:102" s="6" customFormat="1" ht="103.5" customHeight="1" thickBot="1" x14ac:dyDescent="0.3">
      <c r="A3" s="528"/>
      <c r="B3" s="527">
        <f>'[1]Zadani '!C5</f>
        <v>2021</v>
      </c>
      <c r="C3" s="526" t="str">
        <f>'[1]Zadani '!C2</f>
        <v>Modernizace traťového úseku Chlumec nad Cidlinou (mimo) – Hradec Králové (mimo)</v>
      </c>
      <c r="D3" s="525"/>
      <c r="E3" s="505"/>
      <c r="F3" s="524"/>
      <c r="G3" s="524" t="s">
        <v>606</v>
      </c>
      <c r="H3" s="1"/>
      <c r="I3" s="523" t="s">
        <v>605</v>
      </c>
      <c r="J3" s="520" t="s">
        <v>604</v>
      </c>
      <c r="K3" s="520" t="s">
        <v>603</v>
      </c>
      <c r="L3" s="522" t="s">
        <v>602</v>
      </c>
      <c r="M3" s="520" t="s">
        <v>601</v>
      </c>
      <c r="N3" s="514"/>
      <c r="O3" s="513"/>
      <c r="P3" s="512"/>
      <c r="Q3" s="514"/>
      <c r="R3" s="513"/>
      <c r="S3" s="513"/>
      <c r="T3" s="513"/>
      <c r="U3" s="513"/>
      <c r="V3" s="513"/>
      <c r="W3" s="513"/>
      <c r="X3" s="512"/>
      <c r="Y3" s="1"/>
      <c r="Z3" s="521" t="s">
        <v>600</v>
      </c>
      <c r="AA3" s="520" t="s">
        <v>599</v>
      </c>
      <c r="AB3" s="520" t="s">
        <v>598</v>
      </c>
      <c r="AC3" s="520" t="s">
        <v>597</v>
      </c>
      <c r="AD3" s="520" t="s">
        <v>596</v>
      </c>
      <c r="AE3" s="514"/>
      <c r="AF3" s="513"/>
      <c r="AG3" s="512"/>
      <c r="AH3" s="514"/>
      <c r="AI3" s="513"/>
      <c r="AJ3" s="513"/>
      <c r="AK3" s="513"/>
      <c r="AL3" s="513"/>
      <c r="AM3" s="513"/>
      <c r="AN3" s="513"/>
      <c r="AO3" s="512"/>
      <c r="AP3" s="1"/>
      <c r="AQ3" s="521" t="s">
        <v>595</v>
      </c>
      <c r="AR3" s="520" t="s">
        <v>594</v>
      </c>
      <c r="AS3" s="520" t="s">
        <v>593</v>
      </c>
      <c r="AT3" s="516" t="s">
        <v>592</v>
      </c>
      <c r="AU3" s="515" t="s">
        <v>591</v>
      </c>
      <c r="AV3" s="514"/>
      <c r="AW3" s="513"/>
      <c r="AX3" s="512"/>
      <c r="AY3" s="514"/>
      <c r="AZ3" s="513"/>
      <c r="BA3" s="513"/>
      <c r="BB3" s="513"/>
      <c r="BC3" s="513"/>
      <c r="BD3" s="513"/>
      <c r="BE3" s="513"/>
      <c r="BF3" s="512"/>
      <c r="BG3" s="1"/>
      <c r="BH3" s="519" t="s">
        <v>590</v>
      </c>
      <c r="BI3" s="516" t="s">
        <v>589</v>
      </c>
      <c r="BJ3" s="516" t="s">
        <v>588</v>
      </c>
      <c r="BK3" s="516" t="s">
        <v>587</v>
      </c>
      <c r="BL3" s="515" t="s">
        <v>586</v>
      </c>
      <c r="BM3" s="514"/>
      <c r="BN3" s="513"/>
      <c r="BO3" s="512"/>
      <c r="BP3" s="514"/>
      <c r="BQ3" s="513"/>
      <c r="BR3" s="513"/>
      <c r="BS3" s="513"/>
      <c r="BT3" s="513"/>
      <c r="BU3" s="513"/>
      <c r="BV3" s="513"/>
      <c r="BW3" s="512"/>
      <c r="BX3" s="1"/>
      <c r="BY3" s="519" t="s">
        <v>585</v>
      </c>
      <c r="BZ3" s="518" t="s">
        <v>584</v>
      </c>
      <c r="CA3" s="517" t="s">
        <v>583</v>
      </c>
      <c r="CB3" s="516" t="s">
        <v>582</v>
      </c>
      <c r="CC3" s="515" t="s">
        <v>581</v>
      </c>
      <c r="CD3" s="514"/>
      <c r="CE3" s="513"/>
      <c r="CF3" s="512"/>
      <c r="CG3" s="514"/>
      <c r="CH3" s="513"/>
      <c r="CI3" s="513"/>
      <c r="CJ3" s="513"/>
      <c r="CK3" s="513"/>
      <c r="CL3" s="513"/>
      <c r="CM3" s="513"/>
      <c r="CN3" s="512"/>
      <c r="CO3" s="1"/>
      <c r="CP3" s="511"/>
      <c r="CQ3" s="510" t="s">
        <v>580</v>
      </c>
      <c r="CS3" s="510" t="s">
        <v>580</v>
      </c>
      <c r="CU3" s="510" t="s">
        <v>580</v>
      </c>
    </row>
    <row r="4" spans="1:102" ht="15" customHeight="1" x14ac:dyDescent="0.25">
      <c r="A4" s="509" t="s">
        <v>579</v>
      </c>
      <c r="B4" s="508" t="s">
        <v>578</v>
      </c>
      <c r="C4" s="507" t="s">
        <v>577</v>
      </c>
      <c r="D4" s="506"/>
      <c r="E4" s="505"/>
      <c r="F4" s="504"/>
      <c r="G4" s="504" t="s">
        <v>576</v>
      </c>
      <c r="I4" s="503">
        <v>0.94</v>
      </c>
      <c r="J4" s="502"/>
      <c r="K4" s="502">
        <v>23.837</v>
      </c>
      <c r="L4" s="502">
        <v>23.361999999999998</v>
      </c>
      <c r="M4" s="501">
        <v>20.905999999999999</v>
      </c>
      <c r="N4" s="500" t="s">
        <v>575</v>
      </c>
      <c r="O4" s="493" t="s">
        <v>573</v>
      </c>
      <c r="P4" s="492">
        <f>MIN(J4:M4)</f>
        <v>20.905999999999999</v>
      </c>
      <c r="Q4" s="495" t="s">
        <v>574</v>
      </c>
      <c r="R4" s="494"/>
      <c r="S4" s="494"/>
      <c r="T4" s="494"/>
      <c r="U4" s="494"/>
      <c r="V4" s="494"/>
      <c r="W4" s="493" t="s">
        <v>573</v>
      </c>
      <c r="X4" s="492">
        <f>P4</f>
        <v>20.905999999999999</v>
      </c>
      <c r="Z4" s="503">
        <v>19.414999999999999</v>
      </c>
      <c r="AA4" s="502">
        <v>15.18</v>
      </c>
      <c r="AB4" s="502">
        <v>14.127000000000001</v>
      </c>
      <c r="AC4" s="502">
        <v>8.907</v>
      </c>
      <c r="AD4" s="501">
        <v>7.2949999999999999</v>
      </c>
      <c r="AE4" s="500" t="s">
        <v>575</v>
      </c>
      <c r="AF4" s="493" t="s">
        <v>573</v>
      </c>
      <c r="AG4" s="492">
        <f>MIN(Z4:AD4)</f>
        <v>7.2949999999999999</v>
      </c>
      <c r="AH4" s="495" t="s">
        <v>574</v>
      </c>
      <c r="AI4" s="494"/>
      <c r="AJ4" s="494"/>
      <c r="AK4" s="494"/>
      <c r="AL4" s="494"/>
      <c r="AM4" s="494"/>
      <c r="AN4" s="493" t="s">
        <v>573</v>
      </c>
      <c r="AO4" s="492">
        <f>AG4</f>
        <v>7.2949999999999999</v>
      </c>
      <c r="AQ4" s="499">
        <v>0.94</v>
      </c>
      <c r="AR4" s="498"/>
      <c r="AS4" s="498"/>
      <c r="AT4" s="498"/>
      <c r="AU4" s="497"/>
      <c r="AV4" s="496" t="s">
        <v>575</v>
      </c>
      <c r="AW4" s="493" t="s">
        <v>573</v>
      </c>
      <c r="AX4" s="492">
        <f>MIN(AQ4:AU4)</f>
        <v>0.94</v>
      </c>
      <c r="AY4" s="495" t="s">
        <v>574</v>
      </c>
      <c r="AZ4" s="494"/>
      <c r="BA4" s="494"/>
      <c r="BB4" s="494"/>
      <c r="BC4" s="494"/>
      <c r="BD4" s="494"/>
      <c r="BE4" s="493" t="s">
        <v>573</v>
      </c>
      <c r="BF4" s="492">
        <f>AX4</f>
        <v>0.94</v>
      </c>
      <c r="BH4" s="499"/>
      <c r="BI4" s="498"/>
      <c r="BJ4" s="498"/>
      <c r="BK4" s="498"/>
      <c r="BL4" s="497"/>
      <c r="BM4" s="496" t="s">
        <v>575</v>
      </c>
      <c r="BN4" s="493" t="s">
        <v>573</v>
      </c>
      <c r="BO4" s="492">
        <f>MIN(BH4:BL4)</f>
        <v>0</v>
      </c>
      <c r="BP4" s="495" t="s">
        <v>574</v>
      </c>
      <c r="BQ4" s="494"/>
      <c r="BR4" s="494"/>
      <c r="BS4" s="494"/>
      <c r="BT4" s="494"/>
      <c r="BU4" s="494"/>
      <c r="BV4" s="493" t="s">
        <v>573</v>
      </c>
      <c r="BW4" s="492">
        <f>BO4</f>
        <v>0</v>
      </c>
      <c r="BY4" s="499"/>
      <c r="BZ4" s="498"/>
      <c r="CA4" s="498"/>
      <c r="CB4" s="498"/>
      <c r="CC4" s="497"/>
      <c r="CD4" s="496" t="s">
        <v>575</v>
      </c>
      <c r="CE4" s="493" t="s">
        <v>573</v>
      </c>
      <c r="CF4" s="492">
        <f>MIN(BY4:CC4)</f>
        <v>0</v>
      </c>
      <c r="CG4" s="495" t="s">
        <v>574</v>
      </c>
      <c r="CH4" s="494"/>
      <c r="CI4" s="494"/>
      <c r="CJ4" s="494"/>
      <c r="CK4" s="494"/>
      <c r="CL4" s="494"/>
      <c r="CM4" s="493" t="s">
        <v>573</v>
      </c>
      <c r="CN4" s="492">
        <f>CF4</f>
        <v>0</v>
      </c>
      <c r="CP4" s="6"/>
      <c r="CQ4" s="491"/>
      <c r="CR4" s="6"/>
      <c r="CS4" s="491"/>
      <c r="CU4" s="491"/>
    </row>
    <row r="5" spans="1:102" ht="15" customHeight="1" thickBot="1" x14ac:dyDescent="0.3">
      <c r="A5" s="490"/>
      <c r="B5" s="489" t="s">
        <v>572</v>
      </c>
      <c r="C5" s="488"/>
      <c r="D5" s="487"/>
      <c r="E5" s="221"/>
      <c r="F5" s="486"/>
      <c r="G5" s="486" t="s">
        <v>571</v>
      </c>
      <c r="I5" s="485">
        <v>26.96</v>
      </c>
      <c r="J5" s="484"/>
      <c r="K5" s="484">
        <f>I5</f>
        <v>26.96</v>
      </c>
      <c r="L5" s="484">
        <f>K4</f>
        <v>23.837</v>
      </c>
      <c r="M5" s="483">
        <f>L4</f>
        <v>23.361999999999998</v>
      </c>
      <c r="N5" s="227"/>
      <c r="O5" s="476" t="s">
        <v>570</v>
      </c>
      <c r="P5" s="475">
        <f>MAX(J5:M5)</f>
        <v>26.96</v>
      </c>
      <c r="Q5" s="478">
        <v>2</v>
      </c>
      <c r="R5" s="477">
        <v>5</v>
      </c>
      <c r="S5" s="477">
        <v>3</v>
      </c>
      <c r="T5" s="477">
        <v>4</v>
      </c>
      <c r="U5" s="477">
        <v>4</v>
      </c>
      <c r="V5" s="477">
        <v>4</v>
      </c>
      <c r="W5" s="476" t="s">
        <v>570</v>
      </c>
      <c r="X5" s="475">
        <f>P5</f>
        <v>26.96</v>
      </c>
      <c r="Z5" s="485">
        <f>M4</f>
        <v>20.905999999999999</v>
      </c>
      <c r="AA5" s="484">
        <f>Z4</f>
        <v>19.414999999999999</v>
      </c>
      <c r="AB5" s="484">
        <f>AA4</f>
        <v>15.18</v>
      </c>
      <c r="AC5" s="484">
        <f>AB4</f>
        <v>14.127000000000001</v>
      </c>
      <c r="AD5" s="483">
        <f>AC4</f>
        <v>8.907</v>
      </c>
      <c r="AE5" s="227"/>
      <c r="AF5" s="476" t="s">
        <v>570</v>
      </c>
      <c r="AG5" s="475">
        <f>MAX(Z5:AD5)</f>
        <v>20.905999999999999</v>
      </c>
      <c r="AH5" s="478">
        <v>2</v>
      </c>
      <c r="AI5" s="477">
        <v>5</v>
      </c>
      <c r="AJ5" s="477">
        <v>3</v>
      </c>
      <c r="AK5" s="477">
        <v>4</v>
      </c>
      <c r="AL5" s="477">
        <v>4</v>
      </c>
      <c r="AM5" s="477">
        <v>4</v>
      </c>
      <c r="AN5" s="476" t="s">
        <v>570</v>
      </c>
      <c r="AO5" s="475">
        <f>AG5</f>
        <v>20.905999999999999</v>
      </c>
      <c r="AQ5" s="482">
        <f>AD4</f>
        <v>7.2949999999999999</v>
      </c>
      <c r="AR5" s="481"/>
      <c r="AS5" s="481"/>
      <c r="AT5" s="481"/>
      <c r="AU5" s="480"/>
      <c r="AV5" s="479"/>
      <c r="AW5" s="476" t="s">
        <v>570</v>
      </c>
      <c r="AX5" s="475">
        <f>MAX(AQ5:AU5)</f>
        <v>7.2949999999999999</v>
      </c>
      <c r="AY5" s="478">
        <v>2</v>
      </c>
      <c r="AZ5" s="477">
        <v>5</v>
      </c>
      <c r="BA5" s="477">
        <v>3</v>
      </c>
      <c r="BB5" s="477">
        <v>4</v>
      </c>
      <c r="BC5" s="477">
        <v>4</v>
      </c>
      <c r="BD5" s="477">
        <v>4</v>
      </c>
      <c r="BE5" s="476" t="s">
        <v>570</v>
      </c>
      <c r="BF5" s="475">
        <f>AX5</f>
        <v>7.2949999999999999</v>
      </c>
      <c r="BH5" s="482"/>
      <c r="BI5" s="481"/>
      <c r="BJ5" s="481"/>
      <c r="BK5" s="481"/>
      <c r="BL5" s="480"/>
      <c r="BM5" s="479"/>
      <c r="BN5" s="476" t="s">
        <v>570</v>
      </c>
      <c r="BO5" s="475">
        <f>MAX(BH5:BL5)</f>
        <v>0</v>
      </c>
      <c r="BP5" s="478">
        <v>5</v>
      </c>
      <c r="BQ5" s="477">
        <v>1</v>
      </c>
      <c r="BR5" s="477">
        <v>3</v>
      </c>
      <c r="BS5" s="477">
        <v>5</v>
      </c>
      <c r="BT5" s="477">
        <v>5</v>
      </c>
      <c r="BU5" s="477">
        <v>5</v>
      </c>
      <c r="BV5" s="476" t="s">
        <v>570</v>
      </c>
      <c r="BW5" s="475">
        <f>BO5</f>
        <v>0</v>
      </c>
      <c r="BY5" s="482"/>
      <c r="BZ5" s="481"/>
      <c r="CA5" s="481"/>
      <c r="CB5" s="481"/>
      <c r="CC5" s="480"/>
      <c r="CD5" s="479"/>
      <c r="CE5" s="476" t="s">
        <v>570</v>
      </c>
      <c r="CF5" s="475">
        <f>MAX(BY5:CC5)</f>
        <v>0</v>
      </c>
      <c r="CG5" s="478">
        <v>5</v>
      </c>
      <c r="CH5" s="477">
        <v>5</v>
      </c>
      <c r="CI5" s="477">
        <v>5</v>
      </c>
      <c r="CJ5" s="477">
        <v>1</v>
      </c>
      <c r="CK5" s="477">
        <v>3</v>
      </c>
      <c r="CL5" s="477">
        <v>3</v>
      </c>
      <c r="CM5" s="476" t="s">
        <v>570</v>
      </c>
      <c r="CN5" s="475">
        <f>CF5</f>
        <v>0</v>
      </c>
      <c r="CP5" s="6"/>
      <c r="CQ5" s="474"/>
      <c r="CR5" s="6"/>
      <c r="CS5" s="474"/>
      <c r="CU5" s="474">
        <f>I5-I4+(3.867-3.359)</f>
        <v>26.527999999999999</v>
      </c>
    </row>
    <row r="6" spans="1:102" ht="28.5" customHeight="1" thickBot="1" x14ac:dyDescent="0.3">
      <c r="A6" s="473" t="s">
        <v>569</v>
      </c>
      <c r="B6" s="472" t="s">
        <v>568</v>
      </c>
      <c r="C6" s="470" t="s">
        <v>567</v>
      </c>
      <c r="D6" s="471" t="s">
        <v>566</v>
      </c>
      <c r="E6" s="470" t="s">
        <v>565</v>
      </c>
      <c r="F6" s="469" t="s">
        <v>564</v>
      </c>
      <c r="G6" s="469" t="str">
        <f>CONCATENATE("Sazba v CU",B3," (mil.Kč/m.j)")</f>
        <v>Sazba v CU2021 (mil.Kč/m.j)</v>
      </c>
      <c r="I6" s="468"/>
      <c r="J6" s="467">
        <f>J5-J4</f>
        <v>0</v>
      </c>
      <c r="K6" s="467"/>
      <c r="L6" s="466" t="s">
        <v>563</v>
      </c>
      <c r="M6" s="460"/>
      <c r="N6" s="465" t="s">
        <v>562</v>
      </c>
      <c r="O6" s="454" t="s">
        <v>561</v>
      </c>
      <c r="P6" s="464" t="s">
        <v>106</v>
      </c>
      <c r="Q6" s="218" t="s">
        <v>95</v>
      </c>
      <c r="R6" s="218" t="s">
        <v>91</v>
      </c>
      <c r="S6" s="218" t="s">
        <v>89</v>
      </c>
      <c r="T6" s="218" t="s">
        <v>87</v>
      </c>
      <c r="U6" s="218" t="s">
        <v>85</v>
      </c>
      <c r="V6" s="218" t="s">
        <v>83</v>
      </c>
      <c r="W6" s="463" t="s">
        <v>560</v>
      </c>
      <c r="X6" s="451" t="s">
        <v>106</v>
      </c>
      <c r="Z6" s="462"/>
      <c r="AA6" s="461"/>
      <c r="AB6" s="461"/>
      <c r="AC6" s="461"/>
      <c r="AD6" s="460"/>
      <c r="AE6" s="459" t="s">
        <v>562</v>
      </c>
      <c r="AF6" s="454" t="s">
        <v>561</v>
      </c>
      <c r="AG6" s="451" t="s">
        <v>106</v>
      </c>
      <c r="AH6" s="453" t="s">
        <v>95</v>
      </c>
      <c r="AI6" s="453" t="s">
        <v>91</v>
      </c>
      <c r="AJ6" s="453" t="s">
        <v>89</v>
      </c>
      <c r="AK6" s="453" t="s">
        <v>87</v>
      </c>
      <c r="AL6" s="453" t="s">
        <v>85</v>
      </c>
      <c r="AM6" s="453" t="s">
        <v>83</v>
      </c>
      <c r="AN6" s="452" t="s">
        <v>560</v>
      </c>
      <c r="AO6" s="451" t="s">
        <v>106</v>
      </c>
      <c r="AQ6" s="458"/>
      <c r="AR6" s="457"/>
      <c r="AS6" s="457"/>
      <c r="AT6" s="457"/>
      <c r="AU6" s="456"/>
      <c r="AV6" s="455" t="s">
        <v>562</v>
      </c>
      <c r="AW6" s="454" t="s">
        <v>561</v>
      </c>
      <c r="AX6" s="451" t="s">
        <v>106</v>
      </c>
      <c r="AY6" s="453" t="s">
        <v>95</v>
      </c>
      <c r="AZ6" s="453" t="s">
        <v>91</v>
      </c>
      <c r="BA6" s="453" t="s">
        <v>89</v>
      </c>
      <c r="BB6" s="453" t="s">
        <v>87</v>
      </c>
      <c r="BC6" s="453" t="s">
        <v>85</v>
      </c>
      <c r="BD6" s="453" t="s">
        <v>83</v>
      </c>
      <c r="BE6" s="452" t="s">
        <v>560</v>
      </c>
      <c r="BF6" s="451" t="s">
        <v>106</v>
      </c>
      <c r="BH6" s="458"/>
      <c r="BI6" s="457"/>
      <c r="BJ6" s="457"/>
      <c r="BK6" s="457"/>
      <c r="BL6" s="456"/>
      <c r="BM6" s="455" t="s">
        <v>562</v>
      </c>
      <c r="BN6" s="454" t="s">
        <v>561</v>
      </c>
      <c r="BO6" s="451" t="s">
        <v>106</v>
      </c>
      <c r="BP6" s="453" t="s">
        <v>95</v>
      </c>
      <c r="BQ6" s="453" t="s">
        <v>91</v>
      </c>
      <c r="BR6" s="453" t="s">
        <v>89</v>
      </c>
      <c r="BS6" s="453" t="s">
        <v>87</v>
      </c>
      <c r="BT6" s="453" t="s">
        <v>85</v>
      </c>
      <c r="BU6" s="453" t="s">
        <v>83</v>
      </c>
      <c r="BV6" s="452" t="s">
        <v>560</v>
      </c>
      <c r="BW6" s="451" t="s">
        <v>106</v>
      </c>
      <c r="BY6" s="458"/>
      <c r="BZ6" s="457"/>
      <c r="CA6" s="457"/>
      <c r="CB6" s="457"/>
      <c r="CC6" s="456"/>
      <c r="CD6" s="455" t="s">
        <v>562</v>
      </c>
      <c r="CE6" s="454" t="s">
        <v>561</v>
      </c>
      <c r="CF6" s="451" t="s">
        <v>106</v>
      </c>
      <c r="CG6" s="453" t="s">
        <v>95</v>
      </c>
      <c r="CH6" s="453" t="s">
        <v>91</v>
      </c>
      <c r="CI6" s="453" t="s">
        <v>89</v>
      </c>
      <c r="CJ6" s="453" t="s">
        <v>87</v>
      </c>
      <c r="CK6" s="453" t="s">
        <v>85</v>
      </c>
      <c r="CL6" s="453" t="s">
        <v>83</v>
      </c>
      <c r="CM6" s="452" t="s">
        <v>560</v>
      </c>
      <c r="CN6" s="451" t="s">
        <v>106</v>
      </c>
      <c r="CP6" s="6"/>
      <c r="CQ6" s="450" t="s">
        <v>106</v>
      </c>
      <c r="CR6" s="6"/>
      <c r="CS6" s="450" t="s">
        <v>106</v>
      </c>
      <c r="CU6" s="450"/>
    </row>
    <row r="7" spans="1:102" ht="15" customHeight="1" x14ac:dyDescent="0.25">
      <c r="A7" s="406" t="s">
        <v>120</v>
      </c>
      <c r="B7" s="449" t="s">
        <v>559</v>
      </c>
      <c r="C7" s="429" t="s">
        <v>558</v>
      </c>
      <c r="D7" s="430" t="s">
        <v>557</v>
      </c>
      <c r="E7" s="429" t="s">
        <v>182</v>
      </c>
      <c r="F7" s="389">
        <f>((6.95*(1.014*1.012*1.015)*1.1/1.18)*1.028)*(1.058)</f>
        <v>7.3393698680417367</v>
      </c>
      <c r="G7" s="389">
        <f>F7*$G$1</f>
        <v>0</v>
      </c>
      <c r="I7" s="441"/>
      <c r="J7" s="283">
        <v>3</v>
      </c>
      <c r="K7" s="283"/>
      <c r="L7" s="283">
        <v>6</v>
      </c>
      <c r="M7" s="442"/>
      <c r="N7" s="415">
        <f>SUM(I7:M7)</f>
        <v>9</v>
      </c>
      <c r="O7" s="276">
        <v>1</v>
      </c>
      <c r="P7" s="412"/>
      <c r="Q7" s="275"/>
      <c r="R7" s="274"/>
      <c r="S7" s="274"/>
      <c r="T7" s="274"/>
      <c r="U7" s="274"/>
      <c r="V7" s="274"/>
      <c r="W7" s="273"/>
      <c r="X7" s="412">
        <f>P7*W$7</f>
        <v>0</v>
      </c>
      <c r="Z7" s="441"/>
      <c r="AA7" s="283"/>
      <c r="AB7" s="283">
        <v>7</v>
      </c>
      <c r="AC7" s="283"/>
      <c r="AD7" s="442"/>
      <c r="AE7" s="415">
        <f>SUM(Z7:AD7)</f>
        <v>7</v>
      </c>
      <c r="AF7" s="276">
        <v>1</v>
      </c>
      <c r="AG7" s="412"/>
      <c r="AH7" s="275"/>
      <c r="AI7" s="274"/>
      <c r="AJ7" s="274"/>
      <c r="AK7" s="274"/>
      <c r="AL7" s="274"/>
      <c r="AM7" s="274"/>
      <c r="AN7" s="273"/>
      <c r="AO7" s="412">
        <f>AG7*AN$7</f>
        <v>0</v>
      </c>
      <c r="AQ7" s="441"/>
      <c r="AR7" s="301"/>
      <c r="AS7" s="181"/>
      <c r="AT7" s="181"/>
      <c r="AU7" s="282"/>
      <c r="AV7" s="414">
        <f>SUM(AQ7:AU7)</f>
        <v>0</v>
      </c>
      <c r="AW7" s="276">
        <v>1</v>
      </c>
      <c r="AX7" s="412"/>
      <c r="AY7" s="275"/>
      <c r="AZ7" s="274"/>
      <c r="BA7" s="274"/>
      <c r="BB7" s="274"/>
      <c r="BC7" s="274"/>
      <c r="BD7" s="274"/>
      <c r="BE7" s="273"/>
      <c r="BF7" s="412"/>
      <c r="BH7" s="280"/>
      <c r="BI7" s="178"/>
      <c r="BJ7" s="178"/>
      <c r="BK7" s="178"/>
      <c r="BL7" s="177"/>
      <c r="BM7" s="413">
        <f>SUM(BH7:BL7)</f>
        <v>0</v>
      </c>
      <c r="BN7" s="276">
        <v>1</v>
      </c>
      <c r="BO7" s="412">
        <f>$G7*BM7*BN7</f>
        <v>0</v>
      </c>
      <c r="BP7" s="275" t="e">
        <f>VLOOKUP(BP5,#REF!,2,FALSE)/100+1</f>
        <v>#REF!</v>
      </c>
      <c r="BQ7" s="274" t="e">
        <f>VLOOKUP(BQ5,#REF!,2,FALSE)/100+1</f>
        <v>#REF!</v>
      </c>
      <c r="BR7" s="274" t="e">
        <f>VLOOKUP(BR5,#REF!,2,FALSE)/100+1</f>
        <v>#REF!</v>
      </c>
      <c r="BS7" s="274" t="e">
        <f>VLOOKUP(BS5,#REF!,2,FALSE)/100+1</f>
        <v>#REF!</v>
      </c>
      <c r="BT7" s="274" t="e">
        <f>VLOOKUP(BT5,#REF!,2,FALSE)/100+1</f>
        <v>#REF!</v>
      </c>
      <c r="BU7" s="274" t="e">
        <f>VLOOKUP(BU5,#REF!,2,FALSE)/100+1</f>
        <v>#REF!</v>
      </c>
      <c r="BV7" s="273" t="e">
        <f>BP7*BQ7*BR7*BS7*BT7*BU7</f>
        <v>#REF!</v>
      </c>
      <c r="BW7" s="412" t="e">
        <f>BO7*BV$7</f>
        <v>#REF!</v>
      </c>
      <c r="BY7" s="280"/>
      <c r="BZ7" s="178"/>
      <c r="CA7" s="178"/>
      <c r="CB7" s="178"/>
      <c r="CC7" s="177"/>
      <c r="CD7" s="413">
        <f>SUM(BY7:CC7)</f>
        <v>0</v>
      </c>
      <c r="CE7" s="276">
        <v>1</v>
      </c>
      <c r="CF7" s="412">
        <f>$G7*CD7*CE7</f>
        <v>0</v>
      </c>
      <c r="CG7" s="275" t="e">
        <f>VLOOKUP(CG5,#REF!,2,FALSE)/100+1</f>
        <v>#REF!</v>
      </c>
      <c r="CH7" s="274" t="e">
        <f>VLOOKUP(CH5,#REF!,2,FALSE)/100+1</f>
        <v>#REF!</v>
      </c>
      <c r="CI7" s="274" t="e">
        <f>VLOOKUP(CI5,#REF!,2,FALSE)/100+1</f>
        <v>#REF!</v>
      </c>
      <c r="CJ7" s="274" t="e">
        <f>VLOOKUP(CJ5,#REF!,2,FALSE)/100+1</f>
        <v>#REF!</v>
      </c>
      <c r="CK7" s="274" t="e">
        <f>VLOOKUP(CK5,#REF!,2,FALSE)/100+1</f>
        <v>#REF!</v>
      </c>
      <c r="CL7" s="274" t="e">
        <f>VLOOKUP(CL5,#REF!,2,FALSE)/100+1</f>
        <v>#REF!</v>
      </c>
      <c r="CM7" s="273" t="e">
        <f>CG7*CH7*CI7*CJ7*CK7*CL7</f>
        <v>#REF!</v>
      </c>
      <c r="CN7" s="412" t="e">
        <f>CF7*CM$7</f>
        <v>#REF!</v>
      </c>
      <c r="CP7" s="6"/>
      <c r="CQ7" s="411">
        <f>SUMIF(I$1:CO$1,1,I7:CO7)</f>
        <v>0</v>
      </c>
      <c r="CR7" s="6"/>
      <c r="CS7" s="411" t="e">
        <f>SUMIF(I$1:CO$1,2,I7:CO7)</f>
        <v>#REF!</v>
      </c>
      <c r="CU7" s="411">
        <f>SUMIF(I$1:CO$1,3,I7:CO7)</f>
        <v>7</v>
      </c>
      <c r="CW7" s="270"/>
      <c r="CX7" s="270"/>
    </row>
    <row r="8" spans="1:102" ht="15" customHeight="1" x14ac:dyDescent="0.25">
      <c r="A8" s="406"/>
      <c r="B8" s="449"/>
      <c r="C8" s="79" t="s">
        <v>556</v>
      </c>
      <c r="D8" s="410" t="s">
        <v>555</v>
      </c>
      <c r="E8" s="79" t="s">
        <v>182</v>
      </c>
      <c r="F8" s="263">
        <f>((6.2*(1.014*1.012*1.015)*1.1/1.18)*1.028)*(1.058)</f>
        <v>6.5473515369580966</v>
      </c>
      <c r="G8" s="263">
        <f>F8*$G$1</f>
        <v>0</v>
      </c>
      <c r="I8" s="291"/>
      <c r="J8" s="261"/>
      <c r="K8" s="261"/>
      <c r="L8" s="261"/>
      <c r="M8" s="425"/>
      <c r="N8" s="403">
        <f>SUM(I8:M8)</f>
        <v>0</v>
      </c>
      <c r="O8" s="183">
        <v>1</v>
      </c>
      <c r="P8" s="399"/>
      <c r="Q8" s="249"/>
      <c r="R8" s="248"/>
      <c r="S8" s="248"/>
      <c r="T8" s="248"/>
      <c r="U8" s="248"/>
      <c r="V8" s="248"/>
      <c r="W8" s="247"/>
      <c r="X8" s="399">
        <f>P8*W$7</f>
        <v>0</v>
      </c>
      <c r="Z8" s="291">
        <v>12</v>
      </c>
      <c r="AA8" s="261"/>
      <c r="AB8" s="261"/>
      <c r="AC8" s="261"/>
      <c r="AD8" s="425">
        <v>12</v>
      </c>
      <c r="AE8" s="403">
        <f>SUM(Z8:AD8)</f>
        <v>24</v>
      </c>
      <c r="AF8" s="183">
        <v>1</v>
      </c>
      <c r="AG8" s="399"/>
      <c r="AH8" s="249"/>
      <c r="AI8" s="248"/>
      <c r="AJ8" s="248"/>
      <c r="AK8" s="248"/>
      <c r="AL8" s="248"/>
      <c r="AM8" s="248"/>
      <c r="AN8" s="247"/>
      <c r="AO8" s="399">
        <f>AG8*AN$7</f>
        <v>0</v>
      </c>
      <c r="AQ8" s="291"/>
      <c r="AR8" s="294"/>
      <c r="AS8" s="171"/>
      <c r="AT8" s="171"/>
      <c r="AU8" s="242"/>
      <c r="AV8" s="402">
        <f>SUM(AQ8:AU8)</f>
        <v>0</v>
      </c>
      <c r="AW8" s="183">
        <v>1</v>
      </c>
      <c r="AX8" s="399"/>
      <c r="AY8" s="249"/>
      <c r="AZ8" s="248"/>
      <c r="BA8" s="248"/>
      <c r="BB8" s="248"/>
      <c r="BC8" s="248"/>
      <c r="BD8" s="248"/>
      <c r="BE8" s="247"/>
      <c r="BF8" s="399"/>
      <c r="BH8" s="260"/>
      <c r="BI8" s="166"/>
      <c r="BJ8" s="166"/>
      <c r="BK8" s="166"/>
      <c r="BL8" s="165"/>
      <c r="BM8" s="401">
        <f>SUM(BH8:BL8)</f>
        <v>0</v>
      </c>
      <c r="BN8" s="183">
        <v>1</v>
      </c>
      <c r="BO8" s="399">
        <f>$G8*BM8*BN8</f>
        <v>0</v>
      </c>
      <c r="BP8" s="249"/>
      <c r="BQ8" s="248"/>
      <c r="BR8" s="248"/>
      <c r="BS8" s="248"/>
      <c r="BT8" s="248"/>
      <c r="BU8" s="248"/>
      <c r="BV8" s="247"/>
      <c r="BW8" s="399" t="e">
        <f>BO8*BV$7</f>
        <v>#REF!</v>
      </c>
      <c r="BY8" s="260"/>
      <c r="BZ8" s="166"/>
      <c r="CA8" s="166"/>
      <c r="CB8" s="166"/>
      <c r="CC8" s="165"/>
      <c r="CD8" s="401">
        <f>SUM(BY8:CC8)</f>
        <v>0</v>
      </c>
      <c r="CE8" s="183">
        <v>1</v>
      </c>
      <c r="CF8" s="399">
        <f>$G8*CD8*CE8</f>
        <v>0</v>
      </c>
      <c r="CG8" s="249"/>
      <c r="CH8" s="248"/>
      <c r="CI8" s="248"/>
      <c r="CJ8" s="248"/>
      <c r="CK8" s="248"/>
      <c r="CL8" s="248"/>
      <c r="CM8" s="247"/>
      <c r="CN8" s="399" t="e">
        <f>CF8*CM$7</f>
        <v>#REF!</v>
      </c>
      <c r="CP8" s="6"/>
      <c r="CQ8" s="398">
        <f>SUMIF(I$1:CO$1,1,I8:CO8)</f>
        <v>0</v>
      </c>
      <c r="CR8" s="6"/>
      <c r="CS8" s="398" t="e">
        <f>SUMIF(I$1:CO$1,2,I8:CO8)</f>
        <v>#REF!</v>
      </c>
      <c r="CU8" s="398">
        <f>SUMIF(I$1:CO$1,3,I8:CO8)</f>
        <v>24</v>
      </c>
      <c r="CW8" s="270"/>
      <c r="CX8" s="270"/>
    </row>
    <row r="9" spans="1:102" ht="15" customHeight="1" x14ac:dyDescent="0.25">
      <c r="A9" s="406"/>
      <c r="B9" s="449"/>
      <c r="C9" s="79" t="s">
        <v>554</v>
      </c>
      <c r="D9" s="410" t="s">
        <v>553</v>
      </c>
      <c r="E9" s="79" t="s">
        <v>182</v>
      </c>
      <c r="F9" s="263">
        <f>((5.5*(1.014*1.012*1.015)*1.1/1.18)*1.028)*(1.058)</f>
        <v>5.8081344279466984</v>
      </c>
      <c r="G9" s="263">
        <f>F9*$G$1</f>
        <v>0</v>
      </c>
      <c r="I9" s="291"/>
      <c r="J9" s="261"/>
      <c r="K9" s="261"/>
      <c r="L9" s="261"/>
      <c r="M9" s="425"/>
      <c r="N9" s="403">
        <f>SUM(I9:M9)</f>
        <v>0</v>
      </c>
      <c r="O9" s="183">
        <v>1</v>
      </c>
      <c r="P9" s="399"/>
      <c r="Q9" s="249"/>
      <c r="R9" s="248"/>
      <c r="S9" s="248"/>
      <c r="T9" s="248"/>
      <c r="U9" s="248"/>
      <c r="V9" s="248"/>
      <c r="W9" s="247"/>
      <c r="X9" s="399">
        <f>P9*W$7</f>
        <v>0</v>
      </c>
      <c r="Z9" s="291"/>
      <c r="AA9" s="261"/>
      <c r="AB9" s="261"/>
      <c r="AC9" s="261"/>
      <c r="AD9" s="425"/>
      <c r="AE9" s="403">
        <f>SUM(Z9:AD9)</f>
        <v>0</v>
      </c>
      <c r="AF9" s="183">
        <v>1</v>
      </c>
      <c r="AG9" s="399"/>
      <c r="AH9" s="249"/>
      <c r="AI9" s="248"/>
      <c r="AJ9" s="248"/>
      <c r="AK9" s="248"/>
      <c r="AL9" s="248"/>
      <c r="AM9" s="248"/>
      <c r="AN9" s="247"/>
      <c r="AO9" s="399">
        <f>AG9*AN$7</f>
        <v>0</v>
      </c>
      <c r="AQ9" s="291"/>
      <c r="AR9" s="294"/>
      <c r="AS9" s="171"/>
      <c r="AT9" s="171"/>
      <c r="AU9" s="242"/>
      <c r="AV9" s="402">
        <f>SUM(AQ9:AU9)</f>
        <v>0</v>
      </c>
      <c r="AW9" s="183">
        <v>1</v>
      </c>
      <c r="AX9" s="399"/>
      <c r="AY9" s="249"/>
      <c r="AZ9" s="248"/>
      <c r="BA9" s="248"/>
      <c r="BB9" s="248"/>
      <c r="BC9" s="248"/>
      <c r="BD9" s="248"/>
      <c r="BE9" s="247"/>
      <c r="BF9" s="399"/>
      <c r="BH9" s="260"/>
      <c r="BI9" s="166"/>
      <c r="BJ9" s="166"/>
      <c r="BK9" s="166"/>
      <c r="BL9" s="165"/>
      <c r="BM9" s="401">
        <f>SUM(BH9:BL9)</f>
        <v>0</v>
      </c>
      <c r="BN9" s="183">
        <v>1</v>
      </c>
      <c r="BO9" s="399">
        <f>$G9*BM9*BN9</f>
        <v>0</v>
      </c>
      <c r="BP9" s="249"/>
      <c r="BQ9" s="248"/>
      <c r="BR9" s="248"/>
      <c r="BS9" s="248"/>
      <c r="BT9" s="248"/>
      <c r="BU9" s="248"/>
      <c r="BV9" s="247"/>
      <c r="BW9" s="399" t="e">
        <f>BO9*BV$7</f>
        <v>#REF!</v>
      </c>
      <c r="BY9" s="260"/>
      <c r="BZ9" s="166"/>
      <c r="CA9" s="166"/>
      <c r="CB9" s="166"/>
      <c r="CC9" s="165"/>
      <c r="CD9" s="401">
        <f>SUM(BY9:CC9)</f>
        <v>0</v>
      </c>
      <c r="CE9" s="183">
        <v>1</v>
      </c>
      <c r="CF9" s="399">
        <f>$G9*CD9*CE9</f>
        <v>0</v>
      </c>
      <c r="CG9" s="249"/>
      <c r="CH9" s="248"/>
      <c r="CI9" s="248"/>
      <c r="CJ9" s="248"/>
      <c r="CK9" s="248"/>
      <c r="CL9" s="248"/>
      <c r="CM9" s="247"/>
      <c r="CN9" s="399" t="e">
        <f>CF9*CM$7</f>
        <v>#REF!</v>
      </c>
      <c r="CP9" s="6"/>
      <c r="CQ9" s="398">
        <f>SUMIF(I$1:CO$1,1,I9:CO9)</f>
        <v>0</v>
      </c>
      <c r="CR9" s="6"/>
      <c r="CS9" s="398" t="e">
        <f>SUMIF(I$1:CO$1,2,I9:CO9)</f>
        <v>#REF!</v>
      </c>
      <c r="CU9" s="398">
        <f>SUMIF(I$1:CO$1,3,I9:CO9)</f>
        <v>0</v>
      </c>
      <c r="CW9" s="270"/>
      <c r="CX9" s="270"/>
    </row>
    <row r="10" spans="1:102" ht="15" customHeight="1" x14ac:dyDescent="0.25">
      <c r="A10" s="406"/>
      <c r="B10" s="449"/>
      <c r="C10" s="79" t="s">
        <v>552</v>
      </c>
      <c r="D10" s="410" t="s">
        <v>551</v>
      </c>
      <c r="E10" s="79" t="s">
        <v>182</v>
      </c>
      <c r="F10" s="263">
        <f>((4.9*(1.014*1.012*1.015)*1.1/1.18)*1.028)*(1.058)</f>
        <v>5.174519763079787</v>
      </c>
      <c r="G10" s="263">
        <f>F10*$G$1</f>
        <v>0</v>
      </c>
      <c r="I10" s="291"/>
      <c r="J10" s="261"/>
      <c r="K10" s="261"/>
      <c r="L10" s="261"/>
      <c r="M10" s="425"/>
      <c r="N10" s="403">
        <f>SUM(I10:M10)</f>
        <v>0</v>
      </c>
      <c r="O10" s="183">
        <v>1</v>
      </c>
      <c r="P10" s="399"/>
      <c r="Q10" s="249"/>
      <c r="R10" s="248"/>
      <c r="S10" s="248"/>
      <c r="T10" s="248"/>
      <c r="U10" s="248"/>
      <c r="V10" s="248"/>
      <c r="W10" s="247"/>
      <c r="X10" s="399">
        <f>P10*W$7</f>
        <v>0</v>
      </c>
      <c r="Z10" s="291"/>
      <c r="AA10" s="261"/>
      <c r="AB10" s="261"/>
      <c r="AC10" s="261"/>
      <c r="AD10" s="425"/>
      <c r="AE10" s="403">
        <f>SUM(Z10:AD10)</f>
        <v>0</v>
      </c>
      <c r="AF10" s="183">
        <v>1</v>
      </c>
      <c r="AG10" s="399"/>
      <c r="AH10" s="249"/>
      <c r="AI10" s="248"/>
      <c r="AJ10" s="248"/>
      <c r="AK10" s="248"/>
      <c r="AL10" s="248"/>
      <c r="AM10" s="248"/>
      <c r="AN10" s="247"/>
      <c r="AO10" s="399">
        <f>AG10*AN$7</f>
        <v>0</v>
      </c>
      <c r="AQ10" s="291"/>
      <c r="AR10" s="294"/>
      <c r="AS10" s="171"/>
      <c r="AT10" s="171"/>
      <c r="AU10" s="242"/>
      <c r="AV10" s="402">
        <f>SUM(AQ10:AU10)</f>
        <v>0</v>
      </c>
      <c r="AW10" s="183">
        <v>1</v>
      </c>
      <c r="AX10" s="399"/>
      <c r="AY10" s="249"/>
      <c r="AZ10" s="248"/>
      <c r="BA10" s="248"/>
      <c r="BB10" s="248"/>
      <c r="BC10" s="248"/>
      <c r="BD10" s="248"/>
      <c r="BE10" s="247"/>
      <c r="BF10" s="399"/>
      <c r="BH10" s="260"/>
      <c r="BI10" s="166"/>
      <c r="BJ10" s="166"/>
      <c r="BK10" s="166"/>
      <c r="BL10" s="165"/>
      <c r="BM10" s="401">
        <f>SUM(BH10:BL10)</f>
        <v>0</v>
      </c>
      <c r="BN10" s="183">
        <v>1</v>
      </c>
      <c r="BO10" s="399">
        <f>$G10*BM10*BN10</f>
        <v>0</v>
      </c>
      <c r="BP10" s="249"/>
      <c r="BQ10" s="248"/>
      <c r="BR10" s="248"/>
      <c r="BS10" s="248"/>
      <c r="BT10" s="248"/>
      <c r="BU10" s="248"/>
      <c r="BV10" s="247"/>
      <c r="BW10" s="399" t="e">
        <f>BO10*BV$7</f>
        <v>#REF!</v>
      </c>
      <c r="BY10" s="260"/>
      <c r="BZ10" s="166"/>
      <c r="CA10" s="166"/>
      <c r="CB10" s="166"/>
      <c r="CC10" s="165"/>
      <c r="CD10" s="401">
        <f>SUM(BY10:CC10)</f>
        <v>0</v>
      </c>
      <c r="CE10" s="183">
        <v>1</v>
      </c>
      <c r="CF10" s="399">
        <f>$G10*CD10*CE10</f>
        <v>0</v>
      </c>
      <c r="CG10" s="249"/>
      <c r="CH10" s="248"/>
      <c r="CI10" s="248"/>
      <c r="CJ10" s="248"/>
      <c r="CK10" s="248"/>
      <c r="CL10" s="248"/>
      <c r="CM10" s="247"/>
      <c r="CN10" s="399" t="e">
        <f>CF10*CM$7</f>
        <v>#REF!</v>
      </c>
      <c r="CP10" s="6"/>
      <c r="CQ10" s="398">
        <f>SUMIF(I$1:CO$1,1,I10:CO10)</f>
        <v>0</v>
      </c>
      <c r="CR10" s="6"/>
      <c r="CS10" s="398" t="e">
        <f>SUMIF(I$1:CO$1,2,I10:CO10)</f>
        <v>#REF!</v>
      </c>
      <c r="CU10" s="398">
        <f>SUMIF(I$1:CO$1,3,I10:CO10)</f>
        <v>0</v>
      </c>
      <c r="CW10" s="270"/>
      <c r="CX10" s="270"/>
    </row>
    <row r="11" spans="1:102" ht="15" customHeight="1" x14ac:dyDescent="0.25">
      <c r="A11" s="406"/>
      <c r="B11" s="449"/>
      <c r="C11" s="79" t="s">
        <v>550</v>
      </c>
      <c r="D11" s="410" t="s">
        <v>549</v>
      </c>
      <c r="E11" s="79" t="s">
        <v>182</v>
      </c>
      <c r="F11" s="263">
        <f>((4.5*(1.014*1.012*1.015)*1.1/1.18)*1.028)*(1.058)</f>
        <v>4.7521099865018437</v>
      </c>
      <c r="G11" s="263">
        <f>F11*$G$1</f>
        <v>0</v>
      </c>
      <c r="I11" s="291"/>
      <c r="J11" s="261"/>
      <c r="K11" s="261"/>
      <c r="L11" s="261"/>
      <c r="M11" s="425"/>
      <c r="N11" s="403">
        <f>SUM(I11:M11)</f>
        <v>0</v>
      </c>
      <c r="O11" s="183">
        <v>1</v>
      </c>
      <c r="P11" s="399"/>
      <c r="Q11" s="249"/>
      <c r="R11" s="248"/>
      <c r="S11" s="248"/>
      <c r="T11" s="248"/>
      <c r="U11" s="248"/>
      <c r="V11" s="248"/>
      <c r="W11" s="247"/>
      <c r="X11" s="399">
        <f>P11*W$7</f>
        <v>0</v>
      </c>
      <c r="Z11" s="291"/>
      <c r="AA11" s="261"/>
      <c r="AB11" s="261"/>
      <c r="AC11" s="261"/>
      <c r="AD11" s="425"/>
      <c r="AE11" s="403">
        <f>SUM(Z11:AD11)</f>
        <v>0</v>
      </c>
      <c r="AF11" s="183">
        <v>1</v>
      </c>
      <c r="AG11" s="399"/>
      <c r="AH11" s="249"/>
      <c r="AI11" s="248"/>
      <c r="AJ11" s="248"/>
      <c r="AK11" s="248"/>
      <c r="AL11" s="248"/>
      <c r="AM11" s="248"/>
      <c r="AN11" s="247"/>
      <c r="AO11" s="399">
        <f>AG11*AN$7</f>
        <v>0</v>
      </c>
      <c r="AQ11" s="291"/>
      <c r="AR11" s="294"/>
      <c r="AS11" s="171"/>
      <c r="AT11" s="171"/>
      <c r="AU11" s="242"/>
      <c r="AV11" s="402">
        <f>SUM(AQ11:AU11)</f>
        <v>0</v>
      </c>
      <c r="AW11" s="183">
        <v>1</v>
      </c>
      <c r="AX11" s="399"/>
      <c r="AY11" s="249"/>
      <c r="AZ11" s="248"/>
      <c r="BA11" s="248"/>
      <c r="BB11" s="248"/>
      <c r="BC11" s="248"/>
      <c r="BD11" s="248"/>
      <c r="BE11" s="247"/>
      <c r="BF11" s="399"/>
      <c r="BH11" s="260"/>
      <c r="BI11" s="166"/>
      <c r="BJ11" s="166"/>
      <c r="BK11" s="166"/>
      <c r="BL11" s="165"/>
      <c r="BM11" s="401">
        <f>SUM(BH11:BL11)</f>
        <v>0</v>
      </c>
      <c r="BN11" s="183">
        <v>1</v>
      </c>
      <c r="BO11" s="399">
        <f>$G11*BM11*BN11</f>
        <v>0</v>
      </c>
      <c r="BP11" s="249"/>
      <c r="BQ11" s="248"/>
      <c r="BR11" s="248"/>
      <c r="BS11" s="248"/>
      <c r="BT11" s="248"/>
      <c r="BU11" s="248"/>
      <c r="BV11" s="247"/>
      <c r="BW11" s="399" t="e">
        <f>BO11*BV$7</f>
        <v>#REF!</v>
      </c>
      <c r="BY11" s="260"/>
      <c r="BZ11" s="166"/>
      <c r="CA11" s="166"/>
      <c r="CB11" s="166"/>
      <c r="CC11" s="165"/>
      <c r="CD11" s="401">
        <f>SUM(BY11:CC11)</f>
        <v>0</v>
      </c>
      <c r="CE11" s="183">
        <v>1</v>
      </c>
      <c r="CF11" s="399">
        <f>$G11*CD11*CE11</f>
        <v>0</v>
      </c>
      <c r="CG11" s="249"/>
      <c r="CH11" s="248"/>
      <c r="CI11" s="248"/>
      <c r="CJ11" s="248"/>
      <c r="CK11" s="248"/>
      <c r="CL11" s="248"/>
      <c r="CM11" s="247"/>
      <c r="CN11" s="399" t="e">
        <f>CF11*CM$7</f>
        <v>#REF!</v>
      </c>
      <c r="CP11" s="6"/>
      <c r="CQ11" s="398">
        <f>SUMIF(I$1:CO$1,1,I11:CO11)</f>
        <v>0</v>
      </c>
      <c r="CR11" s="6"/>
      <c r="CS11" s="398" t="e">
        <f>SUMIF(I$1:CO$1,2,I11:CO11)</f>
        <v>#REF!</v>
      </c>
      <c r="CU11" s="398">
        <f>SUMIF(I$1:CO$1,3,I11:CO11)</f>
        <v>0</v>
      </c>
      <c r="CW11" s="270"/>
      <c r="CX11" s="270"/>
    </row>
    <row r="12" spans="1:102" ht="15" customHeight="1" x14ac:dyDescent="0.25">
      <c r="A12" s="406"/>
      <c r="B12" s="447"/>
      <c r="C12" s="79" t="s">
        <v>548</v>
      </c>
      <c r="D12" s="410" t="s">
        <v>547</v>
      </c>
      <c r="E12" s="79" t="s">
        <v>182</v>
      </c>
      <c r="F12" s="263">
        <f>((1.8*(1.014*1.012*1.015)*1.1/1.18)*1.028)*(1.058)</f>
        <v>1.9008439946007378</v>
      </c>
      <c r="G12" s="263">
        <f>F12*$G$1</f>
        <v>0</v>
      </c>
      <c r="I12" s="291">
        <v>2</v>
      </c>
      <c r="J12" s="261"/>
      <c r="K12" s="261"/>
      <c r="L12" s="261"/>
      <c r="M12" s="425"/>
      <c r="N12" s="403">
        <f>SUM(I12:M12)</f>
        <v>2</v>
      </c>
      <c r="O12" s="183">
        <v>1</v>
      </c>
      <c r="P12" s="399"/>
      <c r="Q12" s="249"/>
      <c r="R12" s="248"/>
      <c r="S12" s="248"/>
      <c r="T12" s="248"/>
      <c r="U12" s="248"/>
      <c r="V12" s="248"/>
      <c r="W12" s="247"/>
      <c r="X12" s="399">
        <f>P12*W$7</f>
        <v>0</v>
      </c>
      <c r="Z12" s="291"/>
      <c r="AA12" s="261"/>
      <c r="AB12" s="261"/>
      <c r="AC12" s="261"/>
      <c r="AD12" s="425"/>
      <c r="AE12" s="403">
        <f>SUM(Z12:AD12)</f>
        <v>0</v>
      </c>
      <c r="AF12" s="183">
        <v>1</v>
      </c>
      <c r="AG12" s="399"/>
      <c r="AH12" s="249"/>
      <c r="AI12" s="248"/>
      <c r="AJ12" s="248"/>
      <c r="AK12" s="248"/>
      <c r="AL12" s="248"/>
      <c r="AM12" s="248"/>
      <c r="AN12" s="247"/>
      <c r="AO12" s="399">
        <f>AG12*AN$7</f>
        <v>0</v>
      </c>
      <c r="AQ12" s="291"/>
      <c r="AR12" s="294"/>
      <c r="AS12" s="171"/>
      <c r="AT12" s="171"/>
      <c r="AU12" s="242"/>
      <c r="AV12" s="402">
        <f>SUM(AQ12:AU12)</f>
        <v>0</v>
      </c>
      <c r="AW12" s="183">
        <v>1</v>
      </c>
      <c r="AX12" s="399"/>
      <c r="AY12" s="249"/>
      <c r="AZ12" s="248"/>
      <c r="BA12" s="248"/>
      <c r="BB12" s="248"/>
      <c r="BC12" s="248"/>
      <c r="BD12" s="248"/>
      <c r="BE12" s="247"/>
      <c r="BF12" s="399"/>
      <c r="BH12" s="260"/>
      <c r="BI12" s="166"/>
      <c r="BJ12" s="166"/>
      <c r="BK12" s="166"/>
      <c r="BL12" s="165"/>
      <c r="BM12" s="401">
        <f>SUM(BH12:BL12)</f>
        <v>0</v>
      </c>
      <c r="BN12" s="183">
        <v>1</v>
      </c>
      <c r="BO12" s="399">
        <f>$G12*BM12*BN12</f>
        <v>0</v>
      </c>
      <c r="BP12" s="249"/>
      <c r="BQ12" s="248"/>
      <c r="BR12" s="248"/>
      <c r="BS12" s="248"/>
      <c r="BT12" s="248"/>
      <c r="BU12" s="248"/>
      <c r="BV12" s="247"/>
      <c r="BW12" s="399" t="e">
        <f>BO12*BV$7</f>
        <v>#REF!</v>
      </c>
      <c r="BY12" s="260"/>
      <c r="BZ12" s="166"/>
      <c r="CA12" s="166"/>
      <c r="CB12" s="166"/>
      <c r="CC12" s="165"/>
      <c r="CD12" s="401">
        <f>SUM(BY12:CC12)</f>
        <v>0</v>
      </c>
      <c r="CE12" s="183">
        <v>1</v>
      </c>
      <c r="CF12" s="399">
        <f>$G12*CD12*CE12</f>
        <v>0</v>
      </c>
      <c r="CG12" s="249"/>
      <c r="CH12" s="248"/>
      <c r="CI12" s="248"/>
      <c r="CJ12" s="248"/>
      <c r="CK12" s="248"/>
      <c r="CL12" s="248"/>
      <c r="CM12" s="247"/>
      <c r="CN12" s="399" t="e">
        <f>CF12*CM$7</f>
        <v>#REF!</v>
      </c>
      <c r="CP12" s="6"/>
      <c r="CQ12" s="398">
        <f>SUMIF(I$1:CO$1,1,I12:CO12)</f>
        <v>0</v>
      </c>
      <c r="CR12" s="6"/>
      <c r="CS12" s="398" t="e">
        <f>SUMIF(I$1:CO$1,2,I12:CO12)</f>
        <v>#REF!</v>
      </c>
      <c r="CU12" s="398">
        <f>SUMIF(I$1:CO$1,3,I12:CO12)</f>
        <v>0</v>
      </c>
      <c r="CW12" s="270"/>
      <c r="CX12" s="270"/>
    </row>
    <row r="13" spans="1:102" ht="15" customHeight="1" x14ac:dyDescent="0.25">
      <c r="A13" s="406"/>
      <c r="B13" s="448" t="s">
        <v>546</v>
      </c>
      <c r="C13" s="79" t="s">
        <v>545</v>
      </c>
      <c r="D13" s="410" t="s">
        <v>544</v>
      </c>
      <c r="E13" s="79" t="s">
        <v>303</v>
      </c>
      <c r="F13" s="263">
        <f>((1.85*(1.014*1.012*1.015)*1.1/1.18)*1.028)*(1.058)</f>
        <v>1.9536452166729805</v>
      </c>
      <c r="G13" s="263">
        <f>F13*$G$1</f>
        <v>0</v>
      </c>
      <c r="I13" s="291"/>
      <c r="J13" s="261"/>
      <c r="K13" s="261"/>
      <c r="L13" s="261"/>
      <c r="M13" s="425"/>
      <c r="N13" s="403">
        <f>SUM(I13:M13)</f>
        <v>0</v>
      </c>
      <c r="O13" s="183">
        <v>1</v>
      </c>
      <c r="P13" s="399"/>
      <c r="Q13" s="249"/>
      <c r="R13" s="248"/>
      <c r="S13" s="248"/>
      <c r="T13" s="248"/>
      <c r="U13" s="248"/>
      <c r="V13" s="248"/>
      <c r="W13" s="247"/>
      <c r="X13" s="399">
        <f>P13*W$7</f>
        <v>0</v>
      </c>
      <c r="Z13" s="291"/>
      <c r="AA13" s="261"/>
      <c r="AB13" s="261"/>
      <c r="AC13" s="261"/>
      <c r="AD13" s="425"/>
      <c r="AE13" s="403">
        <f>SUM(Z13:AD13)</f>
        <v>0</v>
      </c>
      <c r="AF13" s="183">
        <v>1</v>
      </c>
      <c r="AG13" s="399"/>
      <c r="AH13" s="249"/>
      <c r="AI13" s="248"/>
      <c r="AJ13" s="248"/>
      <c r="AK13" s="248"/>
      <c r="AL13" s="248"/>
      <c r="AM13" s="248"/>
      <c r="AN13" s="247"/>
      <c r="AO13" s="399">
        <f>AG13*AN$7</f>
        <v>0</v>
      </c>
      <c r="AQ13" s="172"/>
      <c r="AR13" s="294"/>
      <c r="AS13" s="171">
        <v>1.56</v>
      </c>
      <c r="AT13" s="171"/>
      <c r="AU13" s="242"/>
      <c r="AV13" s="402">
        <f>SUM(AQ13:AU13)</f>
        <v>1.56</v>
      </c>
      <c r="AW13" s="183">
        <v>1</v>
      </c>
      <c r="AX13" s="399"/>
      <c r="AY13" s="249"/>
      <c r="AZ13" s="248"/>
      <c r="BA13" s="248"/>
      <c r="BB13" s="248"/>
      <c r="BC13" s="248"/>
      <c r="BD13" s="248"/>
      <c r="BE13" s="247"/>
      <c r="BF13" s="399"/>
      <c r="BH13" s="437"/>
      <c r="BI13" s="166"/>
      <c r="BJ13" s="166"/>
      <c r="BK13" s="166"/>
      <c r="BL13" s="165"/>
      <c r="BM13" s="401">
        <f>SUM(BH13:BL13)</f>
        <v>0</v>
      </c>
      <c r="BN13" s="183">
        <v>1</v>
      </c>
      <c r="BO13" s="399">
        <f>$G13*BM13*BN13</f>
        <v>0</v>
      </c>
      <c r="BP13" s="249"/>
      <c r="BQ13" s="248"/>
      <c r="BR13" s="248"/>
      <c r="BS13" s="248"/>
      <c r="BT13" s="248"/>
      <c r="BU13" s="248"/>
      <c r="BV13" s="247"/>
      <c r="BW13" s="399" t="e">
        <f>BO13*BV$7</f>
        <v>#REF!</v>
      </c>
      <c r="BY13" s="437"/>
      <c r="BZ13" s="166"/>
      <c r="CA13" s="166"/>
      <c r="CB13" s="166"/>
      <c r="CC13" s="165"/>
      <c r="CD13" s="401">
        <f>SUM(BY13:CC13)</f>
        <v>0</v>
      </c>
      <c r="CE13" s="183">
        <v>1</v>
      </c>
      <c r="CF13" s="399">
        <f>$G13*CD13*CE13</f>
        <v>0</v>
      </c>
      <c r="CG13" s="249"/>
      <c r="CH13" s="248"/>
      <c r="CI13" s="248"/>
      <c r="CJ13" s="248"/>
      <c r="CK13" s="248"/>
      <c r="CL13" s="248"/>
      <c r="CM13" s="247"/>
      <c r="CN13" s="399" t="e">
        <f>CF13*CM$7</f>
        <v>#REF!</v>
      </c>
      <c r="CP13" s="6"/>
      <c r="CQ13" s="398">
        <f>SUMIF(I$1:CO$1,1,I13:CO13)</f>
        <v>0</v>
      </c>
      <c r="CR13" s="6"/>
      <c r="CS13" s="398" t="e">
        <f>SUMIF(I$1:CO$1,2,I13:CO13)</f>
        <v>#REF!</v>
      </c>
      <c r="CU13" s="398">
        <f>SUMIF(I$1:CO$1,3,I13:CO13)</f>
        <v>1.56</v>
      </c>
      <c r="CW13" s="270"/>
      <c r="CX13" s="270"/>
    </row>
    <row r="14" spans="1:102" ht="15" customHeight="1" x14ac:dyDescent="0.25">
      <c r="A14" s="406"/>
      <c r="B14" s="447"/>
      <c r="C14" s="79" t="s">
        <v>543</v>
      </c>
      <c r="D14" s="410" t="s">
        <v>542</v>
      </c>
      <c r="E14" s="79" t="s">
        <v>303</v>
      </c>
      <c r="F14" s="263">
        <f>((3.1*(1.014*1.012*1.015)*1.1/1.18)*1.028)*(1.058)</f>
        <v>3.2736757684790483</v>
      </c>
      <c r="G14" s="263">
        <f>F14*$G$1</f>
        <v>0</v>
      </c>
      <c r="I14" s="291"/>
      <c r="J14" s="171"/>
      <c r="K14" s="171">
        <v>9.2290538638274935</v>
      </c>
      <c r="L14" s="171"/>
      <c r="M14" s="170">
        <v>1.5357418283166719</v>
      </c>
      <c r="N14" s="403">
        <f>SUM(I14:M14)</f>
        <v>10.764795692144165</v>
      </c>
      <c r="O14" s="183">
        <v>1</v>
      </c>
      <c r="P14" s="399"/>
      <c r="Q14" s="249"/>
      <c r="R14" s="248"/>
      <c r="S14" s="248"/>
      <c r="T14" s="248"/>
      <c r="U14" s="248"/>
      <c r="V14" s="248"/>
      <c r="W14" s="247"/>
      <c r="X14" s="399">
        <f>P14*W$7</f>
        <v>0</v>
      </c>
      <c r="Z14" s="172"/>
      <c r="AA14" s="171">
        <v>8.9971569095507107</v>
      </c>
      <c r="AB14" s="171"/>
      <c r="AC14" s="171">
        <v>11.574421708110739</v>
      </c>
      <c r="AD14" s="170"/>
      <c r="AE14" s="403">
        <f>SUM(Z14:AD14)</f>
        <v>20.571578617661451</v>
      </c>
      <c r="AF14" s="183">
        <v>1</v>
      </c>
      <c r="AG14" s="399"/>
      <c r="AH14" s="249"/>
      <c r="AI14" s="248"/>
      <c r="AJ14" s="248"/>
      <c r="AK14" s="248"/>
      <c r="AL14" s="248"/>
      <c r="AM14" s="248"/>
      <c r="AN14" s="247"/>
      <c r="AO14" s="399">
        <f>AG14*AN$7</f>
        <v>0</v>
      </c>
      <c r="AQ14" s="172">
        <v>15.861968439264617</v>
      </c>
      <c r="AR14" s="294">
        <v>3.7159558216273165</v>
      </c>
      <c r="AS14" s="171"/>
      <c r="AT14" s="171"/>
      <c r="AU14" s="242"/>
      <c r="AV14" s="402">
        <f>SUM(AQ14:AU14)</f>
        <v>19.577924260891933</v>
      </c>
      <c r="AW14" s="183">
        <v>1</v>
      </c>
      <c r="AX14" s="399"/>
      <c r="AY14" s="249"/>
      <c r="AZ14" s="248"/>
      <c r="BA14" s="248"/>
      <c r="BB14" s="248"/>
      <c r="BC14" s="248"/>
      <c r="BD14" s="248"/>
      <c r="BE14" s="247"/>
      <c r="BF14" s="399"/>
      <c r="BH14" s="260"/>
      <c r="BI14" s="166"/>
      <c r="BJ14" s="166"/>
      <c r="BK14" s="166"/>
      <c r="BL14" s="165"/>
      <c r="BM14" s="401">
        <f>SUM(BH14:BL14)</f>
        <v>0</v>
      </c>
      <c r="BN14" s="183">
        <v>1</v>
      </c>
      <c r="BO14" s="399">
        <f>$G14*BM14*BN14</f>
        <v>0</v>
      </c>
      <c r="BP14" s="249"/>
      <c r="BQ14" s="248"/>
      <c r="BR14" s="248"/>
      <c r="BS14" s="248"/>
      <c r="BT14" s="248"/>
      <c r="BU14" s="248"/>
      <c r="BV14" s="247"/>
      <c r="BW14" s="399" t="e">
        <f>BO14*BV$7</f>
        <v>#REF!</v>
      </c>
      <c r="BY14" s="260"/>
      <c r="BZ14" s="166"/>
      <c r="CA14" s="166"/>
      <c r="CB14" s="166"/>
      <c r="CC14" s="165"/>
      <c r="CD14" s="401">
        <f>SUM(BY14:CC14)</f>
        <v>0</v>
      </c>
      <c r="CE14" s="183">
        <v>1</v>
      </c>
      <c r="CF14" s="399">
        <f>$G14*CD14*CE14</f>
        <v>0</v>
      </c>
      <c r="CG14" s="249"/>
      <c r="CH14" s="248"/>
      <c r="CI14" s="248"/>
      <c r="CJ14" s="248"/>
      <c r="CK14" s="248"/>
      <c r="CL14" s="248"/>
      <c r="CM14" s="247"/>
      <c r="CN14" s="399" t="e">
        <f>CF14*CM$7</f>
        <v>#REF!</v>
      </c>
      <c r="CP14" s="6"/>
      <c r="CQ14" s="398">
        <f>SUMIF(I$1:CO$1,1,I14:CO14)</f>
        <v>0</v>
      </c>
      <c r="CR14" s="6"/>
      <c r="CS14" s="398" t="e">
        <f>SUMIF(I$1:CO$1,2,I14:CO14)</f>
        <v>#REF!</v>
      </c>
      <c r="CU14" s="398">
        <f>SUMIF(I$1:CO$1,3,I14:CO14)</f>
        <v>40.149502878553385</v>
      </c>
      <c r="CW14" s="270"/>
      <c r="CX14" s="270"/>
    </row>
    <row r="15" spans="1:102" ht="15" customHeight="1" x14ac:dyDescent="0.25">
      <c r="A15" s="406"/>
      <c r="B15" s="445" t="s">
        <v>541</v>
      </c>
      <c r="C15" s="79" t="s">
        <v>540</v>
      </c>
      <c r="D15" s="410" t="s">
        <v>539</v>
      </c>
      <c r="E15" s="79" t="s">
        <v>243</v>
      </c>
      <c r="F15" s="263">
        <f>((4.8*(1.014*1.012*1.015)*1.1/1.18)*1.028)*(1.058)</f>
        <v>5.0689173189353012</v>
      </c>
      <c r="G15" s="263">
        <f>F15*$G$1</f>
        <v>0</v>
      </c>
      <c r="I15" s="291"/>
      <c r="J15" s="171"/>
      <c r="K15" s="171"/>
      <c r="L15" s="171"/>
      <c r="M15" s="170"/>
      <c r="N15" s="403">
        <f>SUM(I15:M15)</f>
        <v>0</v>
      </c>
      <c r="O15" s="183">
        <v>1</v>
      </c>
      <c r="P15" s="399"/>
      <c r="Q15" s="249"/>
      <c r="R15" s="248"/>
      <c r="S15" s="248"/>
      <c r="T15" s="248"/>
      <c r="U15" s="248"/>
      <c r="V15" s="248"/>
      <c r="W15" s="247"/>
      <c r="X15" s="399">
        <f>P15*W$7</f>
        <v>0</v>
      </c>
      <c r="Z15" s="172"/>
      <c r="AA15" s="171"/>
      <c r="AB15" s="171"/>
      <c r="AC15" s="171"/>
      <c r="AD15" s="170"/>
      <c r="AE15" s="403">
        <f>SUM(Z15:AD15)</f>
        <v>0</v>
      </c>
      <c r="AF15" s="183">
        <v>1</v>
      </c>
      <c r="AG15" s="399"/>
      <c r="AH15" s="249"/>
      <c r="AI15" s="248"/>
      <c r="AJ15" s="248"/>
      <c r="AK15" s="248"/>
      <c r="AL15" s="248"/>
      <c r="AM15" s="248"/>
      <c r="AN15" s="247"/>
      <c r="AO15" s="399">
        <f>AG15*AN$7</f>
        <v>0</v>
      </c>
      <c r="AQ15" s="172"/>
      <c r="AR15" s="294"/>
      <c r="AS15" s="171"/>
      <c r="AT15" s="171"/>
      <c r="AU15" s="242"/>
      <c r="AV15" s="402">
        <f>SUM(AQ15:AU15)</f>
        <v>0</v>
      </c>
      <c r="AW15" s="183">
        <v>1</v>
      </c>
      <c r="AX15" s="399"/>
      <c r="AY15" s="249"/>
      <c r="AZ15" s="248"/>
      <c r="BA15" s="248"/>
      <c r="BB15" s="248"/>
      <c r="BC15" s="248"/>
      <c r="BD15" s="248"/>
      <c r="BE15" s="247"/>
      <c r="BF15" s="399"/>
      <c r="BH15" s="260"/>
      <c r="BI15" s="166"/>
      <c r="BJ15" s="166"/>
      <c r="BK15" s="166"/>
      <c r="BL15" s="165"/>
      <c r="BM15" s="401">
        <f>SUM(BH15:BL15)</f>
        <v>0</v>
      </c>
      <c r="BN15" s="183">
        <v>1</v>
      </c>
      <c r="BO15" s="399">
        <f>$G15*BM15*BN15</f>
        <v>0</v>
      </c>
      <c r="BP15" s="249"/>
      <c r="BQ15" s="248"/>
      <c r="BR15" s="248"/>
      <c r="BS15" s="248"/>
      <c r="BT15" s="248"/>
      <c r="BU15" s="248"/>
      <c r="BV15" s="247"/>
      <c r="BW15" s="399" t="e">
        <f>BO15*BV$7</f>
        <v>#REF!</v>
      </c>
      <c r="BY15" s="260"/>
      <c r="BZ15" s="166"/>
      <c r="CA15" s="166"/>
      <c r="CB15" s="166"/>
      <c r="CC15" s="165"/>
      <c r="CD15" s="401">
        <f>SUM(BY15:CC15)</f>
        <v>0</v>
      </c>
      <c r="CE15" s="183">
        <v>1</v>
      </c>
      <c r="CF15" s="399">
        <f>$G15*CD15*CE15</f>
        <v>0</v>
      </c>
      <c r="CG15" s="249"/>
      <c r="CH15" s="248"/>
      <c r="CI15" s="248"/>
      <c r="CJ15" s="248"/>
      <c r="CK15" s="248"/>
      <c r="CL15" s="248"/>
      <c r="CM15" s="247"/>
      <c r="CN15" s="399" t="e">
        <f>CF15*CM$7</f>
        <v>#REF!</v>
      </c>
      <c r="CP15" s="6"/>
      <c r="CQ15" s="398">
        <f>SUMIF(I$1:CO$1,1,I15:CO15)</f>
        <v>0</v>
      </c>
      <c r="CR15" s="6"/>
      <c r="CS15" s="398" t="e">
        <f>SUMIF(I$1:CO$1,2,I15:CO15)</f>
        <v>#REF!</v>
      </c>
      <c r="CU15" s="398">
        <f>SUMIF(I$1:CO$1,3,I15:CO15)</f>
        <v>0</v>
      </c>
      <c r="CW15" s="270"/>
      <c r="CX15" s="270"/>
    </row>
    <row r="16" spans="1:102" ht="15" customHeight="1" x14ac:dyDescent="0.25">
      <c r="A16" s="406"/>
      <c r="B16" s="446"/>
      <c r="C16" s="79" t="s">
        <v>538</v>
      </c>
      <c r="D16" s="410" t="s">
        <v>537</v>
      </c>
      <c r="E16" s="79" t="s">
        <v>243</v>
      </c>
      <c r="F16" s="263">
        <f>((5.7*(1.014*1.012*1.015)*1.1/1.18)*1.028)*(1.058)</f>
        <v>6.0193393162356692</v>
      </c>
      <c r="G16" s="263">
        <f>F16*$G$1</f>
        <v>0</v>
      </c>
      <c r="I16" s="291"/>
      <c r="J16" s="171"/>
      <c r="K16" s="171"/>
      <c r="L16" s="171"/>
      <c r="M16" s="170"/>
      <c r="N16" s="403">
        <f>SUM(I16:M16)</f>
        <v>0</v>
      </c>
      <c r="O16" s="183">
        <v>1</v>
      </c>
      <c r="P16" s="399"/>
      <c r="Q16" s="249"/>
      <c r="R16" s="248"/>
      <c r="S16" s="248"/>
      <c r="T16" s="248"/>
      <c r="U16" s="248"/>
      <c r="V16" s="248"/>
      <c r="W16" s="247"/>
      <c r="X16" s="399">
        <f>P16*W$7</f>
        <v>0</v>
      </c>
      <c r="Z16" s="291"/>
      <c r="AA16" s="261"/>
      <c r="AB16" s="261"/>
      <c r="AC16" s="261"/>
      <c r="AD16" s="425"/>
      <c r="AE16" s="403">
        <f>SUM(Z16:AD16)</f>
        <v>0</v>
      </c>
      <c r="AF16" s="183">
        <v>1</v>
      </c>
      <c r="AG16" s="399"/>
      <c r="AH16" s="249"/>
      <c r="AI16" s="248"/>
      <c r="AJ16" s="248"/>
      <c r="AK16" s="248"/>
      <c r="AL16" s="248"/>
      <c r="AM16" s="248"/>
      <c r="AN16" s="247"/>
      <c r="AO16" s="399">
        <f>AG16*AN$7</f>
        <v>0</v>
      </c>
      <c r="AQ16" s="291"/>
      <c r="AR16" s="294"/>
      <c r="AS16" s="171"/>
      <c r="AT16" s="171"/>
      <c r="AU16" s="242"/>
      <c r="AV16" s="402">
        <f>SUM(AQ16:AU16)</f>
        <v>0</v>
      </c>
      <c r="AW16" s="183">
        <v>1</v>
      </c>
      <c r="AX16" s="399"/>
      <c r="AY16" s="249"/>
      <c r="AZ16" s="248"/>
      <c r="BA16" s="248"/>
      <c r="BB16" s="248"/>
      <c r="BC16" s="248"/>
      <c r="BD16" s="248"/>
      <c r="BE16" s="247"/>
      <c r="BF16" s="399"/>
      <c r="BH16" s="260"/>
      <c r="BI16" s="166"/>
      <c r="BJ16" s="166"/>
      <c r="BK16" s="166"/>
      <c r="BL16" s="165"/>
      <c r="BM16" s="401">
        <f>SUM(BH16:BL16)</f>
        <v>0</v>
      </c>
      <c r="BN16" s="183">
        <v>1</v>
      </c>
      <c r="BO16" s="399">
        <f>$G16*BM16*BN16</f>
        <v>0</v>
      </c>
      <c r="BP16" s="249"/>
      <c r="BQ16" s="248"/>
      <c r="BR16" s="248"/>
      <c r="BS16" s="248"/>
      <c r="BT16" s="248"/>
      <c r="BU16" s="248"/>
      <c r="BV16" s="247"/>
      <c r="BW16" s="399" t="e">
        <f>BO16*BV$7</f>
        <v>#REF!</v>
      </c>
      <c r="BY16" s="260"/>
      <c r="BZ16" s="166"/>
      <c r="CA16" s="166"/>
      <c r="CB16" s="166"/>
      <c r="CC16" s="165"/>
      <c r="CD16" s="401">
        <f>SUM(BY16:CC16)</f>
        <v>0</v>
      </c>
      <c r="CE16" s="183">
        <v>1</v>
      </c>
      <c r="CF16" s="399">
        <f>$G16*CD16*CE16</f>
        <v>0</v>
      </c>
      <c r="CG16" s="249"/>
      <c r="CH16" s="248"/>
      <c r="CI16" s="248"/>
      <c r="CJ16" s="248"/>
      <c r="CK16" s="248"/>
      <c r="CL16" s="248"/>
      <c r="CM16" s="247"/>
      <c r="CN16" s="399" t="e">
        <f>CF16*CM$7</f>
        <v>#REF!</v>
      </c>
      <c r="CP16" s="6"/>
      <c r="CQ16" s="398">
        <f>SUMIF(I$1:CO$1,1,I16:CO16)</f>
        <v>0</v>
      </c>
      <c r="CR16" s="6"/>
      <c r="CS16" s="398" t="e">
        <f>SUMIF(I$1:CO$1,2,I16:CO16)</f>
        <v>#REF!</v>
      </c>
      <c r="CU16" s="398">
        <f>SUMIF(I$1:CO$1,3,I16:CO16)</f>
        <v>0</v>
      </c>
      <c r="CW16" s="270"/>
      <c r="CX16" s="270"/>
    </row>
    <row r="17" spans="1:102" ht="15" customHeight="1" x14ac:dyDescent="0.25">
      <c r="A17" s="406"/>
      <c r="B17" s="445" t="s">
        <v>536</v>
      </c>
      <c r="C17" s="79" t="s">
        <v>535</v>
      </c>
      <c r="D17" s="410" t="s">
        <v>534</v>
      </c>
      <c r="E17" s="404" t="s">
        <v>187</v>
      </c>
      <c r="F17" s="262">
        <f>((4.5*(1.014*1.012*1.015)*1.1/1.18)*1.028)*(1.058)</f>
        <v>4.7521099865018437</v>
      </c>
      <c r="G17" s="262">
        <f>F17*$G$1</f>
        <v>0</v>
      </c>
      <c r="I17" s="291"/>
      <c r="J17" s="171"/>
      <c r="K17" s="171"/>
      <c r="L17" s="171">
        <v>1</v>
      </c>
      <c r="M17" s="170"/>
      <c r="N17" s="403">
        <f>SUM(I17:M17)</f>
        <v>1</v>
      </c>
      <c r="O17" s="183">
        <v>1</v>
      </c>
      <c r="P17" s="399"/>
      <c r="Q17" s="249"/>
      <c r="R17" s="248"/>
      <c r="S17" s="248"/>
      <c r="T17" s="248"/>
      <c r="U17" s="248"/>
      <c r="V17" s="248"/>
      <c r="W17" s="247"/>
      <c r="X17" s="399">
        <f>P17*W$7</f>
        <v>0</v>
      </c>
      <c r="Z17" s="291">
        <v>1</v>
      </c>
      <c r="AA17" s="261"/>
      <c r="AB17" s="261">
        <v>1</v>
      </c>
      <c r="AC17" s="261"/>
      <c r="AD17" s="425">
        <v>1</v>
      </c>
      <c r="AE17" s="403">
        <f>SUM(Z17:AD17)</f>
        <v>3</v>
      </c>
      <c r="AF17" s="183">
        <v>1</v>
      </c>
      <c r="AG17" s="399"/>
      <c r="AH17" s="249"/>
      <c r="AI17" s="248"/>
      <c r="AJ17" s="248"/>
      <c r="AK17" s="248"/>
      <c r="AL17" s="248"/>
      <c r="AM17" s="248"/>
      <c r="AN17" s="247"/>
      <c r="AO17" s="399">
        <f>AG17*AN$7</f>
        <v>0</v>
      </c>
      <c r="AQ17" s="291">
        <v>1</v>
      </c>
      <c r="AR17" s="294"/>
      <c r="AS17" s="171"/>
      <c r="AT17" s="171"/>
      <c r="AU17" s="242"/>
      <c r="AV17" s="402">
        <f>SUM(AQ17:AU17)</f>
        <v>1</v>
      </c>
      <c r="AW17" s="183">
        <v>1</v>
      </c>
      <c r="AX17" s="399"/>
      <c r="AY17" s="249"/>
      <c r="AZ17" s="248"/>
      <c r="BA17" s="248"/>
      <c r="BB17" s="248"/>
      <c r="BC17" s="248"/>
      <c r="BD17" s="248"/>
      <c r="BE17" s="247"/>
      <c r="BF17" s="399"/>
      <c r="BH17" s="260"/>
      <c r="BI17" s="166"/>
      <c r="BJ17" s="166"/>
      <c r="BK17" s="166"/>
      <c r="BL17" s="165"/>
      <c r="BM17" s="401">
        <f>SUM(BH17:BL17)</f>
        <v>0</v>
      </c>
      <c r="BN17" s="183">
        <v>1</v>
      </c>
      <c r="BO17" s="399">
        <f>$G17*BM17*BN17</f>
        <v>0</v>
      </c>
      <c r="BP17" s="249"/>
      <c r="BQ17" s="248"/>
      <c r="BR17" s="248"/>
      <c r="BS17" s="248"/>
      <c r="BT17" s="248"/>
      <c r="BU17" s="248"/>
      <c r="BV17" s="247"/>
      <c r="BW17" s="399" t="e">
        <f>BO17*BV$7</f>
        <v>#REF!</v>
      </c>
      <c r="BY17" s="260"/>
      <c r="BZ17" s="166"/>
      <c r="CA17" s="166"/>
      <c r="CB17" s="166"/>
      <c r="CC17" s="165"/>
      <c r="CD17" s="401">
        <f>SUM(BY17:CC17)</f>
        <v>0</v>
      </c>
      <c r="CE17" s="183">
        <v>1</v>
      </c>
      <c r="CF17" s="399">
        <f>$G17*CD17*CE17</f>
        <v>0</v>
      </c>
      <c r="CG17" s="249"/>
      <c r="CH17" s="248"/>
      <c r="CI17" s="248"/>
      <c r="CJ17" s="248"/>
      <c r="CK17" s="248"/>
      <c r="CL17" s="248"/>
      <c r="CM17" s="247"/>
      <c r="CN17" s="399" t="e">
        <f>CF17*CM$7</f>
        <v>#REF!</v>
      </c>
      <c r="CP17" s="6"/>
      <c r="CQ17" s="398">
        <f>SUMIF(I$1:CO$1,1,I17:CO17)</f>
        <v>0</v>
      </c>
      <c r="CR17" s="6"/>
      <c r="CS17" s="398" t="e">
        <f>SUMIF(I$1:CO$1,2,I17:CO17)</f>
        <v>#REF!</v>
      </c>
      <c r="CU17" s="398">
        <f>SUMIF(I$1:CO$1,3,I17:CO17)</f>
        <v>4</v>
      </c>
      <c r="CW17" s="270"/>
      <c r="CX17" s="270"/>
    </row>
    <row r="18" spans="1:102" ht="15" customHeight="1" x14ac:dyDescent="0.25">
      <c r="A18" s="406"/>
      <c r="B18" s="446"/>
      <c r="C18" s="79" t="s">
        <v>533</v>
      </c>
      <c r="D18" s="410" t="s">
        <v>532</v>
      </c>
      <c r="E18" s="404" t="s">
        <v>303</v>
      </c>
      <c r="F18" s="262">
        <f>((3.8*(1.014*1.012*1.015)*1.1/1.18)*1.028)*(1.058)</f>
        <v>4.0128928774904464</v>
      </c>
      <c r="G18" s="262">
        <f>F18*$G$1</f>
        <v>0</v>
      </c>
      <c r="I18" s="291">
        <v>47.850029470530551</v>
      </c>
      <c r="J18" s="171"/>
      <c r="K18" s="171"/>
      <c r="L18" s="171"/>
      <c r="M18" s="170"/>
      <c r="N18" s="403">
        <f>SUM(I18:M18)</f>
        <v>47.850029470530551</v>
      </c>
      <c r="O18" s="183">
        <v>1</v>
      </c>
      <c r="P18" s="399"/>
      <c r="Q18" s="249"/>
      <c r="R18" s="248"/>
      <c r="S18" s="248"/>
      <c r="T18" s="248"/>
      <c r="U18" s="248"/>
      <c r="V18" s="248"/>
      <c r="W18" s="247"/>
      <c r="X18" s="399">
        <f>P18*W$7</f>
        <v>0</v>
      </c>
      <c r="Z18" s="291"/>
      <c r="AA18" s="261"/>
      <c r="AB18" s="261"/>
      <c r="AC18" s="261"/>
      <c r="AD18" s="425"/>
      <c r="AE18" s="403">
        <f>SUM(Z18:AD18)</f>
        <v>0</v>
      </c>
      <c r="AF18" s="183">
        <v>1</v>
      </c>
      <c r="AG18" s="399"/>
      <c r="AH18" s="249"/>
      <c r="AI18" s="248"/>
      <c r="AJ18" s="248"/>
      <c r="AK18" s="248"/>
      <c r="AL18" s="248"/>
      <c r="AM18" s="248"/>
      <c r="AN18" s="247"/>
      <c r="AO18" s="399">
        <f>AG18*AN$7</f>
        <v>0</v>
      </c>
      <c r="AQ18" s="291"/>
      <c r="AR18" s="294"/>
      <c r="AS18" s="171"/>
      <c r="AT18" s="171"/>
      <c r="AU18" s="242"/>
      <c r="AV18" s="402">
        <f>SUM(AQ18:AU18)</f>
        <v>0</v>
      </c>
      <c r="AW18" s="183">
        <v>1</v>
      </c>
      <c r="AX18" s="399"/>
      <c r="AY18" s="249"/>
      <c r="AZ18" s="248"/>
      <c r="BA18" s="248"/>
      <c r="BB18" s="248"/>
      <c r="BC18" s="248"/>
      <c r="BD18" s="248"/>
      <c r="BE18" s="247"/>
      <c r="BF18" s="399"/>
      <c r="BH18" s="437"/>
      <c r="BI18" s="166"/>
      <c r="BJ18" s="166"/>
      <c r="BK18" s="166"/>
      <c r="BL18" s="165"/>
      <c r="BM18" s="401">
        <f>SUM(BH18:BL18)</f>
        <v>0</v>
      </c>
      <c r="BN18" s="183">
        <v>1</v>
      </c>
      <c r="BO18" s="399">
        <f>$G18*BM18*BN18</f>
        <v>0</v>
      </c>
      <c r="BP18" s="249"/>
      <c r="BQ18" s="248"/>
      <c r="BR18" s="248"/>
      <c r="BS18" s="248"/>
      <c r="BT18" s="248"/>
      <c r="BU18" s="248"/>
      <c r="BV18" s="247"/>
      <c r="BW18" s="399" t="e">
        <f>BO18*BV$7</f>
        <v>#REF!</v>
      </c>
      <c r="BY18" s="437"/>
      <c r="BZ18" s="166"/>
      <c r="CA18" s="166"/>
      <c r="CB18" s="166"/>
      <c r="CC18" s="165"/>
      <c r="CD18" s="401">
        <f>SUM(BY18:CC18)</f>
        <v>0</v>
      </c>
      <c r="CE18" s="183">
        <v>1</v>
      </c>
      <c r="CF18" s="399">
        <f>$G18*CD18*CE18</f>
        <v>0</v>
      </c>
      <c r="CG18" s="249"/>
      <c r="CH18" s="248"/>
      <c r="CI18" s="248"/>
      <c r="CJ18" s="248"/>
      <c r="CK18" s="248"/>
      <c r="CL18" s="248"/>
      <c r="CM18" s="247"/>
      <c r="CN18" s="399" t="e">
        <f>CF18*CM$7</f>
        <v>#REF!</v>
      </c>
      <c r="CP18" s="6"/>
      <c r="CQ18" s="398">
        <f>SUMIF(I$1:CO$1,1,I18:CO18)</f>
        <v>0</v>
      </c>
      <c r="CR18" s="6"/>
      <c r="CS18" s="398" t="e">
        <f>SUMIF(I$1:CO$1,2,I18:CO18)</f>
        <v>#REF!</v>
      </c>
      <c r="CU18" s="398">
        <f>SUMIF(I$1:CO$1,3,I18:CO18)</f>
        <v>0</v>
      </c>
      <c r="CW18" s="270"/>
      <c r="CX18" s="270"/>
    </row>
    <row r="19" spans="1:102" ht="15" customHeight="1" x14ac:dyDescent="0.25">
      <c r="A19" s="406"/>
      <c r="B19" s="445" t="s">
        <v>178</v>
      </c>
      <c r="C19" s="79" t="s">
        <v>78</v>
      </c>
      <c r="D19" s="255" t="s">
        <v>175</v>
      </c>
      <c r="E19" s="254"/>
      <c r="F19" s="444"/>
      <c r="G19" s="308">
        <f>F19</f>
        <v>0</v>
      </c>
      <c r="I19" s="291"/>
      <c r="J19" s="171"/>
      <c r="K19" s="171"/>
      <c r="L19" s="171"/>
      <c r="M19" s="170"/>
      <c r="N19" s="403">
        <f>SUM(I19:M19)</f>
        <v>0</v>
      </c>
      <c r="O19" s="183">
        <v>1</v>
      </c>
      <c r="P19" s="399"/>
      <c r="Q19" s="249"/>
      <c r="R19" s="248"/>
      <c r="S19" s="248"/>
      <c r="T19" s="248"/>
      <c r="U19" s="248"/>
      <c r="V19" s="248"/>
      <c r="W19" s="247"/>
      <c r="X19" s="399">
        <f>P19*W$7</f>
        <v>0</v>
      </c>
      <c r="Z19" s="291"/>
      <c r="AA19" s="261"/>
      <c r="AB19" s="261"/>
      <c r="AC19" s="261"/>
      <c r="AD19" s="425"/>
      <c r="AE19" s="403">
        <f>SUM(Z19:AD19)</f>
        <v>0</v>
      </c>
      <c r="AF19" s="183">
        <v>1</v>
      </c>
      <c r="AG19" s="399"/>
      <c r="AH19" s="249"/>
      <c r="AI19" s="248"/>
      <c r="AJ19" s="248"/>
      <c r="AK19" s="248"/>
      <c r="AL19" s="248"/>
      <c r="AM19" s="248"/>
      <c r="AN19" s="247"/>
      <c r="AO19" s="399">
        <f>AG19*AN$7</f>
        <v>0</v>
      </c>
      <c r="AQ19" s="291"/>
      <c r="AR19" s="294"/>
      <c r="AS19" s="171"/>
      <c r="AT19" s="171"/>
      <c r="AU19" s="242"/>
      <c r="AV19" s="402">
        <f>SUM(AQ19:AU19)</f>
        <v>0</v>
      </c>
      <c r="AW19" s="183">
        <v>1</v>
      </c>
      <c r="AX19" s="399"/>
      <c r="AY19" s="249"/>
      <c r="AZ19" s="248"/>
      <c r="BA19" s="248"/>
      <c r="BB19" s="248"/>
      <c r="BC19" s="248"/>
      <c r="BD19" s="248"/>
      <c r="BE19" s="247"/>
      <c r="BF19" s="399"/>
      <c r="BH19" s="260"/>
      <c r="BI19" s="166"/>
      <c r="BJ19" s="166"/>
      <c r="BK19" s="166"/>
      <c r="BL19" s="165"/>
      <c r="BM19" s="401">
        <f>SUM(BH19:BL19)</f>
        <v>0</v>
      </c>
      <c r="BN19" s="183">
        <v>1</v>
      </c>
      <c r="BO19" s="399">
        <f>$G19*BM19*BN19</f>
        <v>0</v>
      </c>
      <c r="BP19" s="249"/>
      <c r="BQ19" s="248"/>
      <c r="BR19" s="248"/>
      <c r="BS19" s="248"/>
      <c r="BT19" s="248"/>
      <c r="BU19" s="248"/>
      <c r="BV19" s="247"/>
      <c r="BW19" s="399" t="e">
        <f>BO19*BV$7</f>
        <v>#REF!</v>
      </c>
      <c r="BY19" s="260"/>
      <c r="BZ19" s="166"/>
      <c r="CA19" s="166"/>
      <c r="CB19" s="166"/>
      <c r="CC19" s="165"/>
      <c r="CD19" s="401">
        <f>SUM(BY19:CC19)</f>
        <v>0</v>
      </c>
      <c r="CE19" s="183">
        <v>1</v>
      </c>
      <c r="CF19" s="399">
        <f>$G19*CD19*CE19</f>
        <v>0</v>
      </c>
      <c r="CG19" s="249"/>
      <c r="CH19" s="248"/>
      <c r="CI19" s="248"/>
      <c r="CJ19" s="248"/>
      <c r="CK19" s="248"/>
      <c r="CL19" s="248"/>
      <c r="CM19" s="247"/>
      <c r="CN19" s="399" t="e">
        <f>CF19*CM$7</f>
        <v>#REF!</v>
      </c>
      <c r="CP19" s="6"/>
      <c r="CQ19" s="398">
        <f>SUMIF(I$1:CO$1,1,I19:CO19)</f>
        <v>0</v>
      </c>
      <c r="CR19" s="6"/>
      <c r="CS19" s="398" t="e">
        <f>SUMIF(I$1:CO$1,2,I19:CO19)</f>
        <v>#REF!</v>
      </c>
      <c r="CU19" s="398">
        <f>SUMIF(I$1:CO$1,3,I19:CO19)</f>
        <v>0</v>
      </c>
      <c r="CW19" s="270"/>
      <c r="CX19" s="270"/>
    </row>
    <row r="20" spans="1:102" ht="15" customHeight="1" x14ac:dyDescent="0.25">
      <c r="A20" s="406"/>
      <c r="B20" s="443"/>
      <c r="C20" s="79" t="s">
        <v>77</v>
      </c>
      <c r="D20" s="255" t="s">
        <v>175</v>
      </c>
      <c r="E20" s="254"/>
      <c r="F20" s="308"/>
      <c r="G20" s="308">
        <f>F20</f>
        <v>0</v>
      </c>
      <c r="I20" s="291"/>
      <c r="J20" s="261"/>
      <c r="K20" s="261"/>
      <c r="L20" s="261"/>
      <c r="M20" s="425"/>
      <c r="N20" s="403">
        <f>SUM(I20:M20)</f>
        <v>0</v>
      </c>
      <c r="O20" s="183">
        <v>1</v>
      </c>
      <c r="P20" s="399"/>
      <c r="Q20" s="249"/>
      <c r="R20" s="248"/>
      <c r="S20" s="248"/>
      <c r="T20" s="248"/>
      <c r="U20" s="248"/>
      <c r="V20" s="248"/>
      <c r="W20" s="247"/>
      <c r="X20" s="399">
        <f>P20*W$7</f>
        <v>0</v>
      </c>
      <c r="Z20" s="291"/>
      <c r="AA20" s="261"/>
      <c r="AB20" s="261"/>
      <c r="AC20" s="261"/>
      <c r="AD20" s="425"/>
      <c r="AE20" s="403">
        <f>SUM(Z20:AD20)</f>
        <v>0</v>
      </c>
      <c r="AF20" s="183">
        <v>1</v>
      </c>
      <c r="AG20" s="399"/>
      <c r="AH20" s="249"/>
      <c r="AI20" s="248"/>
      <c r="AJ20" s="248"/>
      <c r="AK20" s="248"/>
      <c r="AL20" s="248"/>
      <c r="AM20" s="248"/>
      <c r="AN20" s="247"/>
      <c r="AO20" s="399">
        <f>AG20*AN$7</f>
        <v>0</v>
      </c>
      <c r="AQ20" s="291"/>
      <c r="AR20" s="294"/>
      <c r="AS20" s="171"/>
      <c r="AT20" s="171"/>
      <c r="AU20" s="242"/>
      <c r="AV20" s="402">
        <f>SUM(AQ20:AU20)</f>
        <v>0</v>
      </c>
      <c r="AW20" s="183">
        <v>1</v>
      </c>
      <c r="AX20" s="399"/>
      <c r="AY20" s="249"/>
      <c r="AZ20" s="248"/>
      <c r="BA20" s="248"/>
      <c r="BB20" s="248"/>
      <c r="BC20" s="248"/>
      <c r="BD20" s="248"/>
      <c r="BE20" s="247"/>
      <c r="BF20" s="399"/>
      <c r="BH20" s="260"/>
      <c r="BI20" s="166"/>
      <c r="BJ20" s="166"/>
      <c r="BK20" s="166"/>
      <c r="BL20" s="165"/>
      <c r="BM20" s="401">
        <f>SUM(BH20:BL20)</f>
        <v>0</v>
      </c>
      <c r="BN20" s="183">
        <v>1</v>
      </c>
      <c r="BO20" s="399">
        <f>$G20*BM20*BN20</f>
        <v>0</v>
      </c>
      <c r="BP20" s="249"/>
      <c r="BQ20" s="248"/>
      <c r="BR20" s="248"/>
      <c r="BS20" s="248"/>
      <c r="BT20" s="248"/>
      <c r="BU20" s="248"/>
      <c r="BV20" s="247"/>
      <c r="BW20" s="399" t="e">
        <f>BO20*BV$7</f>
        <v>#REF!</v>
      </c>
      <c r="BY20" s="260"/>
      <c r="BZ20" s="166"/>
      <c r="CA20" s="166"/>
      <c r="CB20" s="166"/>
      <c r="CC20" s="165"/>
      <c r="CD20" s="401">
        <f>SUM(BY20:CC20)</f>
        <v>0</v>
      </c>
      <c r="CE20" s="183">
        <v>1</v>
      </c>
      <c r="CF20" s="399">
        <f>$G20*CD20*CE20</f>
        <v>0</v>
      </c>
      <c r="CG20" s="249"/>
      <c r="CH20" s="248"/>
      <c r="CI20" s="248"/>
      <c r="CJ20" s="248"/>
      <c r="CK20" s="248"/>
      <c r="CL20" s="248"/>
      <c r="CM20" s="247"/>
      <c r="CN20" s="399" t="e">
        <f>CF20*CM$7</f>
        <v>#REF!</v>
      </c>
      <c r="CP20" s="6"/>
      <c r="CQ20" s="398">
        <f>SUMIF(I$1:CO$1,1,I20:CO20)</f>
        <v>0</v>
      </c>
      <c r="CR20" s="6"/>
      <c r="CS20" s="398" t="e">
        <f>SUMIF(I$1:CO$1,2,I20:CO20)</f>
        <v>#REF!</v>
      </c>
      <c r="CU20" s="398">
        <f>SUMIF(I$1:CO$1,3,I20:CO20)</f>
        <v>0</v>
      </c>
      <c r="CW20" s="270"/>
      <c r="CX20" s="270"/>
    </row>
    <row r="21" spans="1:102" ht="15" customHeight="1" x14ac:dyDescent="0.25">
      <c r="A21" s="406"/>
      <c r="B21" s="443"/>
      <c r="C21" s="79" t="s">
        <v>76</v>
      </c>
      <c r="D21" s="255" t="s">
        <v>175</v>
      </c>
      <c r="E21" s="254"/>
      <c r="F21" s="308"/>
      <c r="G21" s="308">
        <f>F21</f>
        <v>0</v>
      </c>
      <c r="I21" s="291"/>
      <c r="J21" s="261"/>
      <c r="K21" s="261"/>
      <c r="L21" s="261"/>
      <c r="M21" s="425"/>
      <c r="N21" s="403">
        <f>SUM(I21:M21)</f>
        <v>0</v>
      </c>
      <c r="O21" s="183">
        <v>1</v>
      </c>
      <c r="P21" s="399"/>
      <c r="Q21" s="249"/>
      <c r="R21" s="248"/>
      <c r="S21" s="248"/>
      <c r="T21" s="248"/>
      <c r="U21" s="248"/>
      <c r="V21" s="248"/>
      <c r="W21" s="247"/>
      <c r="X21" s="399">
        <f>P21*W$7</f>
        <v>0</v>
      </c>
      <c r="Z21" s="291"/>
      <c r="AA21" s="261"/>
      <c r="AB21" s="261"/>
      <c r="AC21" s="261"/>
      <c r="AD21" s="425"/>
      <c r="AE21" s="403">
        <f>SUM(Z21:AD21)</f>
        <v>0</v>
      </c>
      <c r="AF21" s="183">
        <v>1</v>
      </c>
      <c r="AG21" s="399"/>
      <c r="AH21" s="249"/>
      <c r="AI21" s="248"/>
      <c r="AJ21" s="248"/>
      <c r="AK21" s="248"/>
      <c r="AL21" s="248"/>
      <c r="AM21" s="248"/>
      <c r="AN21" s="247"/>
      <c r="AO21" s="399">
        <f>AG21*AN$7</f>
        <v>0</v>
      </c>
      <c r="AQ21" s="291"/>
      <c r="AR21" s="294"/>
      <c r="AS21" s="171"/>
      <c r="AT21" s="171"/>
      <c r="AU21" s="242"/>
      <c r="AV21" s="402">
        <f>SUM(AQ21:AU21)</f>
        <v>0</v>
      </c>
      <c r="AW21" s="183">
        <v>1</v>
      </c>
      <c r="AX21" s="399"/>
      <c r="AY21" s="249"/>
      <c r="AZ21" s="248"/>
      <c r="BA21" s="248"/>
      <c r="BB21" s="248"/>
      <c r="BC21" s="248"/>
      <c r="BD21" s="248"/>
      <c r="BE21" s="247"/>
      <c r="BF21" s="399"/>
      <c r="BH21" s="260"/>
      <c r="BI21" s="166"/>
      <c r="BJ21" s="166"/>
      <c r="BK21" s="166"/>
      <c r="BL21" s="165"/>
      <c r="BM21" s="401">
        <f>SUM(BH21:BL21)</f>
        <v>0</v>
      </c>
      <c r="BN21" s="183">
        <v>1</v>
      </c>
      <c r="BO21" s="399">
        <f>$G21*BM21*BN21</f>
        <v>0</v>
      </c>
      <c r="BP21" s="249"/>
      <c r="BQ21" s="248"/>
      <c r="BR21" s="248"/>
      <c r="BS21" s="248"/>
      <c r="BT21" s="248"/>
      <c r="BU21" s="248"/>
      <c r="BV21" s="247"/>
      <c r="BW21" s="399" t="e">
        <f>BO21*BV$7</f>
        <v>#REF!</v>
      </c>
      <c r="BY21" s="260"/>
      <c r="BZ21" s="166"/>
      <c r="CA21" s="166"/>
      <c r="CB21" s="166"/>
      <c r="CC21" s="165"/>
      <c r="CD21" s="401">
        <f>SUM(BY21:CC21)</f>
        <v>0</v>
      </c>
      <c r="CE21" s="183">
        <v>1</v>
      </c>
      <c r="CF21" s="399">
        <f>$G21*CD21*CE21</f>
        <v>0</v>
      </c>
      <c r="CG21" s="249"/>
      <c r="CH21" s="248"/>
      <c r="CI21" s="248"/>
      <c r="CJ21" s="248"/>
      <c r="CK21" s="248"/>
      <c r="CL21" s="248"/>
      <c r="CM21" s="247"/>
      <c r="CN21" s="399" t="e">
        <f>CF21*CM$7</f>
        <v>#REF!</v>
      </c>
      <c r="CP21" s="6"/>
      <c r="CQ21" s="398">
        <f>SUMIF(I$1:CO$1,1,I21:CO21)</f>
        <v>0</v>
      </c>
      <c r="CR21" s="6"/>
      <c r="CS21" s="398" t="e">
        <f>SUMIF(I$1:CO$1,2,I21:CO21)</f>
        <v>#REF!</v>
      </c>
      <c r="CU21" s="398">
        <f>SUMIF(I$1:CO$1,3,I21:CO21)</f>
        <v>0</v>
      </c>
      <c r="CW21" s="270"/>
      <c r="CX21" s="270"/>
    </row>
    <row r="22" spans="1:102" ht="15" customHeight="1" x14ac:dyDescent="0.25">
      <c r="A22" s="406"/>
      <c r="B22" s="443"/>
      <c r="C22" s="79" t="s">
        <v>75</v>
      </c>
      <c r="D22" s="252" t="s">
        <v>531</v>
      </c>
      <c r="E22" s="174" t="s">
        <v>106</v>
      </c>
      <c r="F22" s="292"/>
      <c r="G22" s="292">
        <f>F22</f>
        <v>0</v>
      </c>
      <c r="I22" s="172">
        <v>10.229658050000001</v>
      </c>
      <c r="J22" s="261"/>
      <c r="K22" s="261"/>
      <c r="L22" s="261"/>
      <c r="M22" s="425"/>
      <c r="N22" s="403"/>
      <c r="O22" s="400"/>
      <c r="P22" s="399"/>
      <c r="Q22" s="249"/>
      <c r="R22" s="248"/>
      <c r="S22" s="248"/>
      <c r="T22" s="248"/>
      <c r="U22" s="248"/>
      <c r="V22" s="248"/>
      <c r="W22" s="247"/>
      <c r="X22" s="399">
        <f>P22*W$7</f>
        <v>0</v>
      </c>
      <c r="Z22" s="291"/>
      <c r="AA22" s="261"/>
      <c r="AB22" s="261"/>
      <c r="AC22" s="261"/>
      <c r="AD22" s="425"/>
      <c r="AE22" s="403"/>
      <c r="AF22" s="400"/>
      <c r="AG22" s="399"/>
      <c r="AH22" s="249"/>
      <c r="AI22" s="248"/>
      <c r="AJ22" s="248"/>
      <c r="AK22" s="248"/>
      <c r="AL22" s="248"/>
      <c r="AM22" s="248"/>
      <c r="AN22" s="247"/>
      <c r="AO22" s="399">
        <f>AG22*AN$7</f>
        <v>0</v>
      </c>
      <c r="AQ22" s="291"/>
      <c r="AR22" s="294"/>
      <c r="AS22" s="171"/>
      <c r="AT22" s="171"/>
      <c r="AU22" s="242"/>
      <c r="AV22" s="402"/>
      <c r="AW22" s="400"/>
      <c r="AX22" s="399"/>
      <c r="AY22" s="249"/>
      <c r="AZ22" s="248"/>
      <c r="BA22" s="248"/>
      <c r="BB22" s="248"/>
      <c r="BC22" s="248"/>
      <c r="BD22" s="248"/>
      <c r="BE22" s="247"/>
      <c r="BF22" s="399"/>
      <c r="BH22" s="260"/>
      <c r="BI22" s="166"/>
      <c r="BJ22" s="166"/>
      <c r="BK22" s="166"/>
      <c r="BL22" s="165"/>
      <c r="BM22" s="401"/>
      <c r="BN22" s="400"/>
      <c r="BO22" s="399">
        <f>SUM(BH22:BL22)</f>
        <v>0</v>
      </c>
      <c r="BP22" s="249"/>
      <c r="BQ22" s="248"/>
      <c r="BR22" s="248"/>
      <c r="BS22" s="248"/>
      <c r="BT22" s="248"/>
      <c r="BU22" s="248"/>
      <c r="BV22" s="247"/>
      <c r="BW22" s="399" t="e">
        <f>BO22*BV$7</f>
        <v>#REF!</v>
      </c>
      <c r="BY22" s="167"/>
      <c r="BZ22" s="166"/>
      <c r="CA22" s="166"/>
      <c r="CB22" s="166"/>
      <c r="CC22" s="165"/>
      <c r="CD22" s="401"/>
      <c r="CE22" s="400"/>
      <c r="CF22" s="399">
        <f>SUM(BY22:CC22)</f>
        <v>0</v>
      </c>
      <c r="CG22" s="249"/>
      <c r="CH22" s="248"/>
      <c r="CI22" s="248"/>
      <c r="CJ22" s="248"/>
      <c r="CK22" s="248"/>
      <c r="CL22" s="248"/>
      <c r="CM22" s="247"/>
      <c r="CN22" s="399" t="e">
        <f>CF22*CM$7</f>
        <v>#REF!</v>
      </c>
      <c r="CP22" s="6"/>
      <c r="CQ22" s="398">
        <f>SUMIF(I$1:CO$1,1,I22:CO22)</f>
        <v>0</v>
      </c>
      <c r="CR22" s="6"/>
      <c r="CS22" s="398" t="e">
        <f>SUMIF(I$1:CO$1,2,I22:CO22)</f>
        <v>#REF!</v>
      </c>
      <c r="CU22" s="246"/>
      <c r="CW22" s="270"/>
      <c r="CX22" s="270"/>
    </row>
    <row r="23" spans="1:102" ht="15" customHeight="1" x14ac:dyDescent="0.25">
      <c r="A23" s="406"/>
      <c r="B23" s="443"/>
      <c r="C23" s="79" t="s">
        <v>74</v>
      </c>
      <c r="D23" s="199" t="s">
        <v>530</v>
      </c>
      <c r="E23" s="174" t="s">
        <v>106</v>
      </c>
      <c r="F23" s="292"/>
      <c r="G23" s="292">
        <f>F23</f>
        <v>0</v>
      </c>
      <c r="I23" s="172">
        <v>37.079920659999999</v>
      </c>
      <c r="J23" s="261"/>
      <c r="K23" s="261"/>
      <c r="L23" s="261"/>
      <c r="M23" s="425"/>
      <c r="N23" s="403"/>
      <c r="O23" s="400"/>
      <c r="P23" s="399"/>
      <c r="Q23" s="238"/>
      <c r="R23" s="237"/>
      <c r="S23" s="237"/>
      <c r="T23" s="237"/>
      <c r="U23" s="237"/>
      <c r="V23" s="237"/>
      <c r="W23" s="236"/>
      <c r="X23" s="399">
        <f>P23*W$7</f>
        <v>0</v>
      </c>
      <c r="Z23" s="291"/>
      <c r="AA23" s="261"/>
      <c r="AB23" s="261"/>
      <c r="AC23" s="261"/>
      <c r="AD23" s="425"/>
      <c r="AE23" s="403"/>
      <c r="AF23" s="400"/>
      <c r="AG23" s="399"/>
      <c r="AH23" s="238"/>
      <c r="AI23" s="237"/>
      <c r="AJ23" s="237"/>
      <c r="AK23" s="237"/>
      <c r="AL23" s="237"/>
      <c r="AM23" s="237"/>
      <c r="AN23" s="236"/>
      <c r="AO23" s="399">
        <f>AG23*AN$7</f>
        <v>0</v>
      </c>
      <c r="AQ23" s="291"/>
      <c r="AR23" s="294"/>
      <c r="AS23" s="171"/>
      <c r="AT23" s="171"/>
      <c r="AU23" s="242"/>
      <c r="AV23" s="402"/>
      <c r="AW23" s="400"/>
      <c r="AX23" s="399"/>
      <c r="AY23" s="238"/>
      <c r="AZ23" s="237"/>
      <c r="BA23" s="237"/>
      <c r="BB23" s="237"/>
      <c r="BC23" s="237"/>
      <c r="BD23" s="237"/>
      <c r="BE23" s="236"/>
      <c r="BF23" s="399"/>
      <c r="BH23" s="260"/>
      <c r="BI23" s="166"/>
      <c r="BJ23" s="166"/>
      <c r="BK23" s="166"/>
      <c r="BL23" s="165"/>
      <c r="BM23" s="401"/>
      <c r="BN23" s="400"/>
      <c r="BO23" s="399">
        <f>SUM(BH23:BL23)</f>
        <v>0</v>
      </c>
      <c r="BP23" s="238"/>
      <c r="BQ23" s="237"/>
      <c r="BR23" s="237"/>
      <c r="BS23" s="237"/>
      <c r="BT23" s="237"/>
      <c r="BU23" s="237"/>
      <c r="BV23" s="236"/>
      <c r="BW23" s="399" t="e">
        <f>BO23*BV$7</f>
        <v>#REF!</v>
      </c>
      <c r="BY23" s="167"/>
      <c r="BZ23" s="166"/>
      <c r="CA23" s="166"/>
      <c r="CB23" s="166"/>
      <c r="CC23" s="165"/>
      <c r="CD23" s="401"/>
      <c r="CE23" s="400"/>
      <c r="CF23" s="399">
        <f>SUM(BY23:CC23)</f>
        <v>0</v>
      </c>
      <c r="CG23" s="238"/>
      <c r="CH23" s="237"/>
      <c r="CI23" s="237"/>
      <c r="CJ23" s="237"/>
      <c r="CK23" s="237"/>
      <c r="CL23" s="237"/>
      <c r="CM23" s="236"/>
      <c r="CN23" s="399" t="e">
        <f>CF23*CM$7</f>
        <v>#REF!</v>
      </c>
      <c r="CP23" s="6"/>
      <c r="CQ23" s="398">
        <f>SUMIF(I$1:CO$1,1,I23:CO23)</f>
        <v>0</v>
      </c>
      <c r="CR23" s="6"/>
      <c r="CS23" s="398" t="e">
        <f>SUMIF(I$1:CO$1,2,I23:CO23)</f>
        <v>#REF!</v>
      </c>
      <c r="CU23" s="246"/>
      <c r="CW23" s="270"/>
      <c r="CX23" s="270"/>
    </row>
    <row r="24" spans="1:102" ht="15" customHeight="1" thickBot="1" x14ac:dyDescent="0.3">
      <c r="A24" s="397"/>
      <c r="B24" s="154"/>
      <c r="C24" s="152"/>
      <c r="D24" s="153" t="s">
        <v>148</v>
      </c>
      <c r="E24" s="152"/>
      <c r="F24" s="432"/>
      <c r="G24" s="432"/>
      <c r="I24" s="150"/>
      <c r="J24" s="149"/>
      <c r="K24" s="149"/>
      <c r="L24" s="149"/>
      <c r="M24" s="148"/>
      <c r="N24" s="147"/>
      <c r="O24" s="141"/>
      <c r="P24" s="140"/>
      <c r="Q24" s="142"/>
      <c r="R24" s="142"/>
      <c r="S24" s="142"/>
      <c r="T24" s="142"/>
      <c r="U24" s="142"/>
      <c r="V24" s="142"/>
      <c r="W24" s="141"/>
      <c r="X24" s="140">
        <f>SUM(X7:X23)</f>
        <v>0</v>
      </c>
      <c r="Z24" s="431"/>
      <c r="AA24" s="433"/>
      <c r="AB24" s="433"/>
      <c r="AC24" s="433"/>
      <c r="AD24" s="432"/>
      <c r="AE24" s="147"/>
      <c r="AF24" s="141"/>
      <c r="AG24" s="140"/>
      <c r="AH24" s="142"/>
      <c r="AI24" s="142"/>
      <c r="AJ24" s="142"/>
      <c r="AK24" s="142"/>
      <c r="AL24" s="142"/>
      <c r="AM24" s="142"/>
      <c r="AN24" s="141"/>
      <c r="AO24" s="140">
        <f>SUM(AO7:AO23)</f>
        <v>0</v>
      </c>
      <c r="AQ24" s="431"/>
      <c r="AR24" s="149"/>
      <c r="AS24" s="149"/>
      <c r="AT24" s="149"/>
      <c r="AU24" s="149"/>
      <c r="AV24" s="146"/>
      <c r="AW24" s="141"/>
      <c r="AX24" s="140"/>
      <c r="AY24" s="142"/>
      <c r="AZ24" s="142"/>
      <c r="BA24" s="142"/>
      <c r="BB24" s="142"/>
      <c r="BC24" s="142"/>
      <c r="BD24" s="142"/>
      <c r="BE24" s="141"/>
      <c r="BF24" s="140"/>
      <c r="BH24" s="145"/>
      <c r="BI24" s="144"/>
      <c r="BJ24" s="144"/>
      <c r="BK24" s="144"/>
      <c r="BL24" s="144"/>
      <c r="BM24" s="143"/>
      <c r="BN24" s="141"/>
      <c r="BO24" s="140">
        <f>SUM(BO7:BO23)</f>
        <v>0</v>
      </c>
      <c r="BP24" s="142"/>
      <c r="BQ24" s="142"/>
      <c r="BR24" s="142"/>
      <c r="BS24" s="142"/>
      <c r="BT24" s="142"/>
      <c r="BU24" s="142"/>
      <c r="BV24" s="141"/>
      <c r="BW24" s="140" t="e">
        <f>SUM(BW7:BW23)</f>
        <v>#REF!</v>
      </c>
      <c r="BY24" s="145"/>
      <c r="BZ24" s="144"/>
      <c r="CA24" s="144"/>
      <c r="CB24" s="144"/>
      <c r="CC24" s="144"/>
      <c r="CD24" s="143"/>
      <c r="CE24" s="141"/>
      <c r="CF24" s="140">
        <f>SUM(CF7:CF23)</f>
        <v>0</v>
      </c>
      <c r="CG24" s="142"/>
      <c r="CH24" s="142"/>
      <c r="CI24" s="142"/>
      <c r="CJ24" s="142"/>
      <c r="CK24" s="142"/>
      <c r="CL24" s="142"/>
      <c r="CM24" s="141"/>
      <c r="CN24" s="140" t="e">
        <f>SUM(CN7:CN23)</f>
        <v>#REF!</v>
      </c>
      <c r="CP24" s="6"/>
      <c r="CQ24" s="139">
        <f>SUM(CQ7:CQ23)</f>
        <v>0</v>
      </c>
      <c r="CR24" s="6"/>
      <c r="CS24" s="139" t="e">
        <f>SUM(CS7:CS23)</f>
        <v>#REF!</v>
      </c>
      <c r="CU24" s="139"/>
      <c r="CW24" s="270"/>
      <c r="CX24" s="270"/>
    </row>
    <row r="25" spans="1:102" ht="15" customHeight="1" x14ac:dyDescent="0.25">
      <c r="A25" s="417" t="s">
        <v>118</v>
      </c>
      <c r="B25" s="423" t="s">
        <v>529</v>
      </c>
      <c r="C25" s="429" t="s">
        <v>528</v>
      </c>
      <c r="D25" s="430" t="s">
        <v>527</v>
      </c>
      <c r="E25" s="429" t="s">
        <v>187</v>
      </c>
      <c r="F25" s="389">
        <f>((1.8*(1.014*1.012*1.015)*1.1/1.18)*1.028)*(1.058)</f>
        <v>1.9008439946007378</v>
      </c>
      <c r="G25" s="262">
        <f>F25*$G$1</f>
        <v>0</v>
      </c>
      <c r="I25" s="182"/>
      <c r="J25" s="181"/>
      <c r="K25" s="181"/>
      <c r="L25" s="181">
        <v>1</v>
      </c>
      <c r="M25" s="180"/>
      <c r="N25" s="428">
        <f>SUM(I25:M25)</f>
        <v>1</v>
      </c>
      <c r="O25" s="276">
        <v>1</v>
      </c>
      <c r="P25" s="419"/>
      <c r="Q25" s="275"/>
      <c r="R25" s="274"/>
      <c r="S25" s="274"/>
      <c r="T25" s="274"/>
      <c r="U25" s="274"/>
      <c r="V25" s="274"/>
      <c r="W25" s="273"/>
      <c r="X25" s="412">
        <f>P25*W$25</f>
        <v>0</v>
      </c>
      <c r="Z25" s="182">
        <v>1</v>
      </c>
      <c r="AA25" s="283"/>
      <c r="AB25" s="283">
        <v>1</v>
      </c>
      <c r="AC25" s="283"/>
      <c r="AD25" s="442">
        <v>1</v>
      </c>
      <c r="AE25" s="428">
        <f>SUM(Z25:AD25)</f>
        <v>3</v>
      </c>
      <c r="AF25" s="276">
        <v>1</v>
      </c>
      <c r="AG25" s="419"/>
      <c r="AH25" s="275"/>
      <c r="AI25" s="274"/>
      <c r="AJ25" s="274"/>
      <c r="AK25" s="274"/>
      <c r="AL25" s="274"/>
      <c r="AM25" s="274"/>
      <c r="AN25" s="273"/>
      <c r="AO25" s="412">
        <f>AG25*AN$25</f>
        <v>0</v>
      </c>
      <c r="AQ25" s="441"/>
      <c r="AR25" s="440"/>
      <c r="AS25" s="283"/>
      <c r="AT25" s="283"/>
      <c r="AU25" s="439"/>
      <c r="AV25" s="427">
        <f>SUM(AQ25:AU25)</f>
        <v>0</v>
      </c>
      <c r="AW25" s="276">
        <v>1</v>
      </c>
      <c r="AX25" s="419"/>
      <c r="AY25" s="275"/>
      <c r="AZ25" s="274"/>
      <c r="BA25" s="274"/>
      <c r="BB25" s="274"/>
      <c r="BC25" s="274"/>
      <c r="BD25" s="274"/>
      <c r="BE25" s="273"/>
      <c r="BF25" s="412"/>
      <c r="BH25" s="280"/>
      <c r="BI25" s="278"/>
      <c r="BJ25" s="278"/>
      <c r="BK25" s="278"/>
      <c r="BL25" s="279"/>
      <c r="BM25" s="426">
        <f>SUM(BH25:BL25)</f>
        <v>0</v>
      </c>
      <c r="BN25" s="276">
        <v>1</v>
      </c>
      <c r="BO25" s="419">
        <f>$G25*BM25*BN25</f>
        <v>0</v>
      </c>
      <c r="BP25" s="275" t="e">
        <f>VLOOKUP(BP5,#REF!,3,FALSE)/100+1</f>
        <v>#REF!</v>
      </c>
      <c r="BQ25" s="274" t="e">
        <f>VLOOKUP(BQ5,#REF!,3,FALSE)/100+1</f>
        <v>#REF!</v>
      </c>
      <c r="BR25" s="274" t="e">
        <f>VLOOKUP(BR5,#REF!,3,FALSE)/100+1</f>
        <v>#REF!</v>
      </c>
      <c r="BS25" s="274" t="e">
        <f>VLOOKUP(BS5,#REF!,3,FALSE)/100+1</f>
        <v>#REF!</v>
      </c>
      <c r="BT25" s="274" t="e">
        <f>VLOOKUP(BT5,#REF!,3,FALSE)/100+1</f>
        <v>#REF!</v>
      </c>
      <c r="BU25" s="274" t="e">
        <f>VLOOKUP(BU5,#REF!,3,FALSE)/100+1</f>
        <v>#REF!</v>
      </c>
      <c r="BV25" s="273" t="e">
        <f>BP25*BQ25*BR25*BS25*BT25*BU25</f>
        <v>#REF!</v>
      </c>
      <c r="BW25" s="412" t="e">
        <f>BO25*BV$25</f>
        <v>#REF!</v>
      </c>
      <c r="BY25" s="280"/>
      <c r="BZ25" s="278"/>
      <c r="CA25" s="278"/>
      <c r="CB25" s="278"/>
      <c r="CC25" s="279"/>
      <c r="CD25" s="426">
        <f>SUM(BY25:CC25)</f>
        <v>0</v>
      </c>
      <c r="CE25" s="276">
        <v>1</v>
      </c>
      <c r="CF25" s="419">
        <f>$G25*CD25*CE25</f>
        <v>0</v>
      </c>
      <c r="CG25" s="275" t="e">
        <f>VLOOKUP(CG5,#REF!,3,FALSE)/100+1</f>
        <v>#REF!</v>
      </c>
      <c r="CH25" s="274" t="e">
        <f>VLOOKUP(CH5,#REF!,3,FALSE)/100+1</f>
        <v>#REF!</v>
      </c>
      <c r="CI25" s="274" t="e">
        <f>VLOOKUP(CI5,#REF!,3,FALSE)/100+1</f>
        <v>#REF!</v>
      </c>
      <c r="CJ25" s="274" t="e">
        <f>VLOOKUP(CJ5,#REF!,3,FALSE)/100+1</f>
        <v>#REF!</v>
      </c>
      <c r="CK25" s="274" t="e">
        <f>VLOOKUP(CK5,#REF!,3,FALSE)/100+1</f>
        <v>#REF!</v>
      </c>
      <c r="CL25" s="274" t="e">
        <f>VLOOKUP(CL5,#REF!,3,FALSE)/100+1</f>
        <v>#REF!</v>
      </c>
      <c r="CM25" s="273" t="e">
        <f>CG25*CH25*CI25*CJ25*CK25*CL25</f>
        <v>#REF!</v>
      </c>
      <c r="CN25" s="412" t="e">
        <f>CF25*CM$25</f>
        <v>#REF!</v>
      </c>
      <c r="CP25" s="6"/>
      <c r="CQ25" s="411">
        <f>SUMIF(I$1:CO$1,1,I25:CO25)</f>
        <v>0</v>
      </c>
      <c r="CR25" s="6"/>
      <c r="CS25" s="411" t="e">
        <f>SUMIF(I$1:CO$1,2,I25:CO25)</f>
        <v>#REF!</v>
      </c>
      <c r="CU25" s="411">
        <f>SUMIF(I$1:CO$1,3,I25:CO25)</f>
        <v>3</v>
      </c>
      <c r="CW25" s="270"/>
      <c r="CX25" s="270"/>
    </row>
    <row r="26" spans="1:102" ht="15" customHeight="1" x14ac:dyDescent="0.25">
      <c r="A26" s="406"/>
      <c r="B26" s="423"/>
      <c r="C26" s="79" t="s">
        <v>526</v>
      </c>
      <c r="D26" s="410" t="s">
        <v>525</v>
      </c>
      <c r="E26" s="79" t="s">
        <v>243</v>
      </c>
      <c r="F26" s="263">
        <f>((12*(1.014*1.012*1.015)*1.1/1.18)*1.028)*(1.058)</f>
        <v>12.67229329733825</v>
      </c>
      <c r="G26" s="262">
        <f>F26*$G$1</f>
        <v>0</v>
      </c>
      <c r="I26" s="172"/>
      <c r="J26" s="171"/>
      <c r="K26" s="171"/>
      <c r="L26" s="171"/>
      <c r="M26" s="170"/>
      <c r="N26" s="403">
        <f>SUM(I26:M26)</f>
        <v>0</v>
      </c>
      <c r="O26" s="183">
        <v>1</v>
      </c>
      <c r="P26" s="399">
        <f>$G26*N26*O26</f>
        <v>0</v>
      </c>
      <c r="Q26" s="249"/>
      <c r="R26" s="248"/>
      <c r="S26" s="248"/>
      <c r="T26" s="248"/>
      <c r="U26" s="248"/>
      <c r="V26" s="248"/>
      <c r="W26" s="247"/>
      <c r="X26" s="399">
        <f>P26*W$25</f>
        <v>0</v>
      </c>
      <c r="Z26" s="172"/>
      <c r="AA26" s="261"/>
      <c r="AB26" s="261"/>
      <c r="AC26" s="261"/>
      <c r="AD26" s="425"/>
      <c r="AE26" s="403">
        <f>SUM(Z26:AD26)</f>
        <v>0</v>
      </c>
      <c r="AF26" s="183">
        <v>1</v>
      </c>
      <c r="AG26" s="399"/>
      <c r="AH26" s="249"/>
      <c r="AI26" s="248"/>
      <c r="AJ26" s="248"/>
      <c r="AK26" s="248"/>
      <c r="AL26" s="248"/>
      <c r="AM26" s="248"/>
      <c r="AN26" s="247"/>
      <c r="AO26" s="399">
        <f>AG26*AN$25</f>
        <v>0</v>
      </c>
      <c r="AQ26" s="291"/>
      <c r="AR26" s="438"/>
      <c r="AS26" s="261"/>
      <c r="AT26" s="261"/>
      <c r="AU26" s="434"/>
      <c r="AV26" s="402">
        <f>SUM(AQ26:AU26)</f>
        <v>0</v>
      </c>
      <c r="AW26" s="183">
        <v>1</v>
      </c>
      <c r="AX26" s="399"/>
      <c r="AY26" s="249"/>
      <c r="AZ26" s="248"/>
      <c r="BA26" s="248"/>
      <c r="BB26" s="248"/>
      <c r="BC26" s="248"/>
      <c r="BD26" s="248"/>
      <c r="BE26" s="247"/>
      <c r="BF26" s="399"/>
      <c r="BH26" s="260"/>
      <c r="BI26" s="258"/>
      <c r="BJ26" s="258"/>
      <c r="BK26" s="258"/>
      <c r="BL26" s="259"/>
      <c r="BM26" s="401">
        <f>SUM(BH26:BL26)</f>
        <v>0</v>
      </c>
      <c r="BN26" s="183">
        <v>1</v>
      </c>
      <c r="BO26" s="399">
        <f>$G26*BM26*BN26</f>
        <v>0</v>
      </c>
      <c r="BP26" s="249"/>
      <c r="BQ26" s="248"/>
      <c r="BR26" s="248"/>
      <c r="BS26" s="248"/>
      <c r="BT26" s="248"/>
      <c r="BU26" s="248"/>
      <c r="BV26" s="247"/>
      <c r="BW26" s="399" t="e">
        <f>BO26*BV$25</f>
        <v>#REF!</v>
      </c>
      <c r="BY26" s="260"/>
      <c r="BZ26" s="258"/>
      <c r="CA26" s="258"/>
      <c r="CB26" s="258"/>
      <c r="CC26" s="259"/>
      <c r="CD26" s="401">
        <f>SUM(BY26:CC26)</f>
        <v>0</v>
      </c>
      <c r="CE26" s="183">
        <v>1</v>
      </c>
      <c r="CF26" s="399">
        <f>$G26*CD26*CE26</f>
        <v>0</v>
      </c>
      <c r="CG26" s="249"/>
      <c r="CH26" s="248"/>
      <c r="CI26" s="248"/>
      <c r="CJ26" s="248"/>
      <c r="CK26" s="248"/>
      <c r="CL26" s="248"/>
      <c r="CM26" s="247"/>
      <c r="CN26" s="399" t="e">
        <f>CF26*CM$25</f>
        <v>#REF!</v>
      </c>
      <c r="CP26" s="6"/>
      <c r="CQ26" s="398">
        <f>SUMIF(I$1:CO$1,1,I26:CO26)</f>
        <v>0</v>
      </c>
      <c r="CR26" s="6"/>
      <c r="CS26" s="398" t="e">
        <f>SUMIF(I$1:CO$1,2,I26:CO26)</f>
        <v>#REF!</v>
      </c>
      <c r="CU26" s="398">
        <f>SUMIF(I$1:CO$1,3,I26:CO26)</f>
        <v>0</v>
      </c>
      <c r="CW26" s="270"/>
      <c r="CX26" s="270"/>
    </row>
    <row r="27" spans="1:102" ht="15" customHeight="1" x14ac:dyDescent="0.25">
      <c r="A27" s="406"/>
      <c r="B27" s="423"/>
      <c r="C27" s="79" t="s">
        <v>524</v>
      </c>
      <c r="D27" s="410" t="s">
        <v>523</v>
      </c>
      <c r="E27" s="79" t="s">
        <v>243</v>
      </c>
      <c r="F27" s="263">
        <f>((5*(1.014*1.012*1.015)*1.1/1.18)*1.028)*(1.058)</f>
        <v>5.2801222072242702</v>
      </c>
      <c r="G27" s="262">
        <f>F27*$G$1</f>
        <v>0</v>
      </c>
      <c r="I27" s="172"/>
      <c r="J27" s="171"/>
      <c r="K27" s="171"/>
      <c r="L27" s="171">
        <v>1</v>
      </c>
      <c r="M27" s="170"/>
      <c r="N27" s="403">
        <f>SUM(I27:M27)</f>
        <v>1</v>
      </c>
      <c r="O27" s="183">
        <v>1</v>
      </c>
      <c r="P27" s="399"/>
      <c r="Q27" s="249"/>
      <c r="R27" s="248"/>
      <c r="S27" s="248"/>
      <c r="T27" s="248"/>
      <c r="U27" s="248"/>
      <c r="V27" s="248"/>
      <c r="W27" s="247"/>
      <c r="X27" s="399">
        <f>P27*W$25</f>
        <v>0</v>
      </c>
      <c r="Z27" s="172">
        <v>1</v>
      </c>
      <c r="AA27" s="261"/>
      <c r="AB27" s="261">
        <v>1</v>
      </c>
      <c r="AC27" s="261"/>
      <c r="AD27" s="425">
        <v>1</v>
      </c>
      <c r="AE27" s="403">
        <f>SUM(Z27:AD27)</f>
        <v>3</v>
      </c>
      <c r="AF27" s="183">
        <v>1</v>
      </c>
      <c r="AG27" s="399"/>
      <c r="AH27" s="249"/>
      <c r="AI27" s="248"/>
      <c r="AJ27" s="248"/>
      <c r="AK27" s="248"/>
      <c r="AL27" s="248"/>
      <c r="AM27" s="248"/>
      <c r="AN27" s="247"/>
      <c r="AO27" s="399">
        <f>AG27*AN$25</f>
        <v>0</v>
      </c>
      <c r="AQ27" s="291"/>
      <c r="AR27" s="438"/>
      <c r="AS27" s="261"/>
      <c r="AT27" s="261"/>
      <c r="AU27" s="434"/>
      <c r="AV27" s="402">
        <f>SUM(AQ27:AU27)</f>
        <v>0</v>
      </c>
      <c r="AW27" s="183">
        <v>1</v>
      </c>
      <c r="AX27" s="399"/>
      <c r="AY27" s="249"/>
      <c r="AZ27" s="248"/>
      <c r="BA27" s="248"/>
      <c r="BB27" s="248"/>
      <c r="BC27" s="248"/>
      <c r="BD27" s="248"/>
      <c r="BE27" s="247"/>
      <c r="BF27" s="399"/>
      <c r="BH27" s="260"/>
      <c r="BI27" s="258"/>
      <c r="BJ27" s="258"/>
      <c r="BK27" s="258"/>
      <c r="BL27" s="259"/>
      <c r="BM27" s="401">
        <f>SUM(BH27:BL27)</f>
        <v>0</v>
      </c>
      <c r="BN27" s="183">
        <v>1</v>
      </c>
      <c r="BO27" s="399">
        <f>$G27*BM27*BN27</f>
        <v>0</v>
      </c>
      <c r="BP27" s="249"/>
      <c r="BQ27" s="248"/>
      <c r="BR27" s="248"/>
      <c r="BS27" s="248"/>
      <c r="BT27" s="248"/>
      <c r="BU27" s="248"/>
      <c r="BV27" s="247"/>
      <c r="BW27" s="399" t="e">
        <f>BO27*BV$25</f>
        <v>#REF!</v>
      </c>
      <c r="BY27" s="260"/>
      <c r="BZ27" s="258"/>
      <c r="CA27" s="258"/>
      <c r="CB27" s="258"/>
      <c r="CC27" s="259"/>
      <c r="CD27" s="401">
        <f>SUM(BY27:CC27)</f>
        <v>0</v>
      </c>
      <c r="CE27" s="183">
        <v>1</v>
      </c>
      <c r="CF27" s="399">
        <f>$G27*CD27*CE27</f>
        <v>0</v>
      </c>
      <c r="CG27" s="249"/>
      <c r="CH27" s="248"/>
      <c r="CI27" s="248"/>
      <c r="CJ27" s="248"/>
      <c r="CK27" s="248"/>
      <c r="CL27" s="248"/>
      <c r="CM27" s="247"/>
      <c r="CN27" s="399" t="e">
        <f>CF27*CM$25</f>
        <v>#REF!</v>
      </c>
      <c r="CP27" s="6"/>
      <c r="CQ27" s="398">
        <f>SUMIF(I$1:CO$1,1,I27:CO27)</f>
        <v>0</v>
      </c>
      <c r="CR27" s="6"/>
      <c r="CS27" s="398" t="e">
        <f>SUMIF(I$1:CO$1,2,I27:CO27)</f>
        <v>#REF!</v>
      </c>
      <c r="CU27" s="398">
        <f>SUMIF(I$1:CO$1,3,I27:CO27)</f>
        <v>3</v>
      </c>
      <c r="CW27" s="270"/>
      <c r="CX27" s="270"/>
    </row>
    <row r="28" spans="1:102" ht="15" customHeight="1" x14ac:dyDescent="0.25">
      <c r="A28" s="406"/>
      <c r="B28" s="423"/>
      <c r="C28" s="79" t="s">
        <v>522</v>
      </c>
      <c r="D28" s="410" t="s">
        <v>521</v>
      </c>
      <c r="E28" s="79" t="s">
        <v>243</v>
      </c>
      <c r="F28" s="263">
        <f>((0.5*(1.014*1.012*1.015)*1.1/1.18)*1.028)*(1.058)</f>
        <v>0.52801222072242704</v>
      </c>
      <c r="G28" s="262">
        <f>F28*$G$1</f>
        <v>0</v>
      </c>
      <c r="I28" s="172"/>
      <c r="J28" s="171"/>
      <c r="K28" s="171">
        <v>1</v>
      </c>
      <c r="L28" s="171"/>
      <c r="M28" s="170">
        <v>1</v>
      </c>
      <c r="N28" s="403">
        <f>SUM(I28:M28)</f>
        <v>2</v>
      </c>
      <c r="O28" s="183">
        <v>1</v>
      </c>
      <c r="P28" s="399"/>
      <c r="Q28" s="249"/>
      <c r="R28" s="248"/>
      <c r="S28" s="248"/>
      <c r="T28" s="248"/>
      <c r="U28" s="248"/>
      <c r="V28" s="248"/>
      <c r="W28" s="247"/>
      <c r="X28" s="399">
        <f>P28*W$25</f>
        <v>0</v>
      </c>
      <c r="Z28" s="172"/>
      <c r="AA28" s="261">
        <v>1</v>
      </c>
      <c r="AB28" s="261"/>
      <c r="AC28" s="261">
        <v>2</v>
      </c>
      <c r="AD28" s="425"/>
      <c r="AE28" s="403">
        <f>SUM(Z28:AD28)</f>
        <v>3</v>
      </c>
      <c r="AF28" s="183">
        <v>1</v>
      </c>
      <c r="AG28" s="399"/>
      <c r="AH28" s="249"/>
      <c r="AI28" s="248"/>
      <c r="AJ28" s="248"/>
      <c r="AK28" s="248"/>
      <c r="AL28" s="248"/>
      <c r="AM28" s="248"/>
      <c r="AN28" s="247"/>
      <c r="AO28" s="399">
        <f>AG28*AN$25</f>
        <v>0</v>
      </c>
      <c r="AQ28" s="291">
        <v>1</v>
      </c>
      <c r="AR28" s="438"/>
      <c r="AS28" s="261"/>
      <c r="AT28" s="261"/>
      <c r="AU28" s="434"/>
      <c r="AV28" s="402">
        <f>SUM(AQ28:AU28)</f>
        <v>1</v>
      </c>
      <c r="AW28" s="183">
        <v>1</v>
      </c>
      <c r="AX28" s="399"/>
      <c r="AY28" s="249"/>
      <c r="AZ28" s="248"/>
      <c r="BA28" s="248"/>
      <c r="BB28" s="248"/>
      <c r="BC28" s="248"/>
      <c r="BD28" s="248"/>
      <c r="BE28" s="247"/>
      <c r="BF28" s="399"/>
      <c r="BH28" s="260"/>
      <c r="BI28" s="258"/>
      <c r="BJ28" s="258"/>
      <c r="BK28" s="258"/>
      <c r="BL28" s="259"/>
      <c r="BM28" s="401">
        <f>SUM(BH28:BL28)</f>
        <v>0</v>
      </c>
      <c r="BN28" s="183">
        <v>1</v>
      </c>
      <c r="BO28" s="399">
        <f>$G28*BM28*BN28</f>
        <v>0</v>
      </c>
      <c r="BP28" s="249"/>
      <c r="BQ28" s="248"/>
      <c r="BR28" s="248"/>
      <c r="BS28" s="248"/>
      <c r="BT28" s="248"/>
      <c r="BU28" s="248"/>
      <c r="BV28" s="247"/>
      <c r="BW28" s="399" t="e">
        <f>BO28*BV$25</f>
        <v>#REF!</v>
      </c>
      <c r="BY28" s="260"/>
      <c r="BZ28" s="258"/>
      <c r="CA28" s="258"/>
      <c r="CB28" s="258"/>
      <c r="CC28" s="259"/>
      <c r="CD28" s="401">
        <f>SUM(BY28:CC28)</f>
        <v>0</v>
      </c>
      <c r="CE28" s="183">
        <v>1</v>
      </c>
      <c r="CF28" s="399">
        <f>$G28*CD28*CE28</f>
        <v>0</v>
      </c>
      <c r="CG28" s="249"/>
      <c r="CH28" s="248"/>
      <c r="CI28" s="248"/>
      <c r="CJ28" s="248"/>
      <c r="CK28" s="248"/>
      <c r="CL28" s="248"/>
      <c r="CM28" s="247"/>
      <c r="CN28" s="399" t="e">
        <f>CF28*CM$25</f>
        <v>#REF!</v>
      </c>
      <c r="CP28" s="6"/>
      <c r="CQ28" s="398">
        <f>SUMIF(I$1:CO$1,1,I28:CO28)</f>
        <v>0</v>
      </c>
      <c r="CR28" s="6"/>
      <c r="CS28" s="398" t="e">
        <f>SUMIF(I$1:CO$1,2,I28:CO28)</f>
        <v>#REF!</v>
      </c>
      <c r="CU28" s="398">
        <f>SUMIF(I$1:CO$1,3,I28:CO28)</f>
        <v>4</v>
      </c>
      <c r="CW28" s="270"/>
      <c r="CX28" s="270"/>
    </row>
    <row r="29" spans="1:102" ht="15" customHeight="1" x14ac:dyDescent="0.25">
      <c r="A29" s="406"/>
      <c r="B29" s="423"/>
      <c r="C29" s="79" t="s">
        <v>520</v>
      </c>
      <c r="D29" s="410" t="s">
        <v>519</v>
      </c>
      <c r="E29" s="79" t="s">
        <v>516</v>
      </c>
      <c r="F29" s="263">
        <f>((3*(1.014*1.012*1.015)*1.1/1.18)*1.028)*(1.058)</f>
        <v>3.1680733243345625</v>
      </c>
      <c r="G29" s="262">
        <f>F29*$G$1</f>
        <v>0</v>
      </c>
      <c r="I29" s="172"/>
      <c r="J29" s="171"/>
      <c r="K29" s="171"/>
      <c r="L29" s="171"/>
      <c r="M29" s="170"/>
      <c r="N29" s="403">
        <f>SUM(I29:M29)</f>
        <v>0</v>
      </c>
      <c r="O29" s="183">
        <v>1</v>
      </c>
      <c r="P29" s="399"/>
      <c r="Q29" s="249"/>
      <c r="R29" s="248"/>
      <c r="S29" s="248"/>
      <c r="T29" s="248"/>
      <c r="U29" s="248"/>
      <c r="V29" s="248"/>
      <c r="W29" s="247"/>
      <c r="X29" s="399">
        <f>P29*W$25</f>
        <v>0</v>
      </c>
      <c r="Z29" s="172"/>
      <c r="AA29" s="261"/>
      <c r="AB29" s="261">
        <v>3</v>
      </c>
      <c r="AC29" s="261"/>
      <c r="AD29" s="425">
        <v>7</v>
      </c>
      <c r="AE29" s="403">
        <f>SUM(Z29:AD29)</f>
        <v>10</v>
      </c>
      <c r="AF29" s="183">
        <v>1</v>
      </c>
      <c r="AG29" s="399"/>
      <c r="AH29" s="249"/>
      <c r="AI29" s="248"/>
      <c r="AJ29" s="248"/>
      <c r="AK29" s="248"/>
      <c r="AL29" s="248"/>
      <c r="AM29" s="248"/>
      <c r="AN29" s="247"/>
      <c r="AO29" s="399">
        <f>AG29*AN$25</f>
        <v>0</v>
      </c>
      <c r="AQ29" s="291"/>
      <c r="AR29" s="438"/>
      <c r="AS29" s="261"/>
      <c r="AT29" s="261"/>
      <c r="AU29" s="434"/>
      <c r="AV29" s="402">
        <f>SUM(AQ29:AU29)</f>
        <v>0</v>
      </c>
      <c r="AW29" s="183">
        <v>1</v>
      </c>
      <c r="AX29" s="399"/>
      <c r="AY29" s="249"/>
      <c r="AZ29" s="248"/>
      <c r="BA29" s="248"/>
      <c r="BB29" s="248"/>
      <c r="BC29" s="248"/>
      <c r="BD29" s="248"/>
      <c r="BE29" s="247"/>
      <c r="BF29" s="399"/>
      <c r="BH29" s="260"/>
      <c r="BI29" s="258"/>
      <c r="BJ29" s="258"/>
      <c r="BK29" s="258"/>
      <c r="BL29" s="259"/>
      <c r="BM29" s="401">
        <f>SUM(BH29:BL29)</f>
        <v>0</v>
      </c>
      <c r="BN29" s="183">
        <v>1</v>
      </c>
      <c r="BO29" s="399">
        <f>$G29*BM29*BN29</f>
        <v>0</v>
      </c>
      <c r="BP29" s="249"/>
      <c r="BQ29" s="248"/>
      <c r="BR29" s="248"/>
      <c r="BS29" s="248"/>
      <c r="BT29" s="248"/>
      <c r="BU29" s="248"/>
      <c r="BV29" s="247"/>
      <c r="BW29" s="399" t="e">
        <f>BO29*BV$25</f>
        <v>#REF!</v>
      </c>
      <c r="BY29" s="260"/>
      <c r="BZ29" s="258"/>
      <c r="CA29" s="258"/>
      <c r="CB29" s="258"/>
      <c r="CC29" s="259"/>
      <c r="CD29" s="401">
        <f>SUM(BY29:CC29)</f>
        <v>0</v>
      </c>
      <c r="CE29" s="183">
        <v>1</v>
      </c>
      <c r="CF29" s="399">
        <f>$G29*CD29*CE29</f>
        <v>0</v>
      </c>
      <c r="CG29" s="249"/>
      <c r="CH29" s="248"/>
      <c r="CI29" s="248"/>
      <c r="CJ29" s="248"/>
      <c r="CK29" s="248"/>
      <c r="CL29" s="248"/>
      <c r="CM29" s="247"/>
      <c r="CN29" s="399" t="e">
        <f>CF29*CM$25</f>
        <v>#REF!</v>
      </c>
      <c r="CP29" s="6"/>
      <c r="CQ29" s="398">
        <f>SUMIF(I$1:CO$1,1,I29:CO29)</f>
        <v>0</v>
      </c>
      <c r="CR29" s="6"/>
      <c r="CS29" s="398" t="e">
        <f>SUMIF(I$1:CO$1,2,I29:CO29)</f>
        <v>#REF!</v>
      </c>
      <c r="CU29" s="398">
        <f>SUMIF(I$1:CO$1,3,I29:CO29)</f>
        <v>10</v>
      </c>
      <c r="CW29" s="270"/>
      <c r="CX29" s="270"/>
    </row>
    <row r="30" spans="1:102" ht="15" customHeight="1" x14ac:dyDescent="0.25">
      <c r="A30" s="406"/>
      <c r="B30" s="422"/>
      <c r="C30" s="79" t="s">
        <v>518</v>
      </c>
      <c r="D30" s="410" t="s">
        <v>517</v>
      </c>
      <c r="E30" s="79" t="s">
        <v>516</v>
      </c>
      <c r="F30" s="263">
        <f>((0.5*(1.014*1.012*1.015)*1.1/1.18)*1.028)*(1.058)</f>
        <v>0.52801222072242704</v>
      </c>
      <c r="G30" s="262">
        <f>F30*$G$1</f>
        <v>0</v>
      </c>
      <c r="I30" s="172"/>
      <c r="J30" s="171"/>
      <c r="K30" s="171">
        <v>4</v>
      </c>
      <c r="L30" s="171"/>
      <c r="M30" s="170">
        <v>4</v>
      </c>
      <c r="N30" s="403">
        <f>SUM(I30:M30)</f>
        <v>8</v>
      </c>
      <c r="O30" s="183">
        <v>1</v>
      </c>
      <c r="P30" s="399"/>
      <c r="Q30" s="249"/>
      <c r="R30" s="248"/>
      <c r="S30" s="248"/>
      <c r="T30" s="248"/>
      <c r="U30" s="248"/>
      <c r="V30" s="248"/>
      <c r="W30" s="247"/>
      <c r="X30" s="399">
        <f>P30*W$25</f>
        <v>0</v>
      </c>
      <c r="Z30" s="172"/>
      <c r="AA30" s="261">
        <v>4</v>
      </c>
      <c r="AB30" s="261"/>
      <c r="AC30" s="261">
        <v>8</v>
      </c>
      <c r="AD30" s="425"/>
      <c r="AE30" s="403">
        <f>SUM(Z30:AD30)</f>
        <v>12</v>
      </c>
      <c r="AF30" s="183">
        <v>1</v>
      </c>
      <c r="AG30" s="399"/>
      <c r="AH30" s="249"/>
      <c r="AI30" s="248"/>
      <c r="AJ30" s="248"/>
      <c r="AK30" s="248"/>
      <c r="AL30" s="248"/>
      <c r="AM30" s="248"/>
      <c r="AN30" s="247"/>
      <c r="AO30" s="399">
        <f>AG30*AN$25</f>
        <v>0</v>
      </c>
      <c r="AQ30" s="291">
        <v>4</v>
      </c>
      <c r="AR30" s="438"/>
      <c r="AS30" s="261"/>
      <c r="AT30" s="261"/>
      <c r="AU30" s="434"/>
      <c r="AV30" s="402">
        <f>SUM(AQ30:AU30)</f>
        <v>4</v>
      </c>
      <c r="AW30" s="183">
        <v>1</v>
      </c>
      <c r="AX30" s="399"/>
      <c r="AY30" s="249"/>
      <c r="AZ30" s="248"/>
      <c r="BA30" s="248"/>
      <c r="BB30" s="248"/>
      <c r="BC30" s="248"/>
      <c r="BD30" s="248"/>
      <c r="BE30" s="247"/>
      <c r="BF30" s="399"/>
      <c r="BH30" s="260"/>
      <c r="BI30" s="258"/>
      <c r="BJ30" s="258"/>
      <c r="BK30" s="258"/>
      <c r="BL30" s="259"/>
      <c r="BM30" s="401">
        <f>SUM(BH30:BL30)</f>
        <v>0</v>
      </c>
      <c r="BN30" s="183">
        <v>1</v>
      </c>
      <c r="BO30" s="399">
        <f>$G30*BM30*BN30</f>
        <v>0</v>
      </c>
      <c r="BP30" s="249"/>
      <c r="BQ30" s="248"/>
      <c r="BR30" s="248"/>
      <c r="BS30" s="248"/>
      <c r="BT30" s="248"/>
      <c r="BU30" s="248"/>
      <c r="BV30" s="247"/>
      <c r="BW30" s="399" t="e">
        <f>BO30*BV$25</f>
        <v>#REF!</v>
      </c>
      <c r="BY30" s="260"/>
      <c r="BZ30" s="258"/>
      <c r="CA30" s="258"/>
      <c r="CB30" s="258"/>
      <c r="CC30" s="259"/>
      <c r="CD30" s="401">
        <f>SUM(BY30:CC30)</f>
        <v>0</v>
      </c>
      <c r="CE30" s="183">
        <v>1</v>
      </c>
      <c r="CF30" s="399">
        <f>$G30*CD30*CE30</f>
        <v>0</v>
      </c>
      <c r="CG30" s="249"/>
      <c r="CH30" s="248"/>
      <c r="CI30" s="248"/>
      <c r="CJ30" s="248"/>
      <c r="CK30" s="248"/>
      <c r="CL30" s="248"/>
      <c r="CM30" s="247"/>
      <c r="CN30" s="399" t="e">
        <f>CF30*CM$25</f>
        <v>#REF!</v>
      </c>
      <c r="CP30" s="6"/>
      <c r="CQ30" s="398">
        <f>SUMIF(I$1:CO$1,1,I30:CO30)</f>
        <v>0</v>
      </c>
      <c r="CR30" s="6"/>
      <c r="CS30" s="398" t="e">
        <f>SUMIF(I$1:CO$1,2,I30:CO30)</f>
        <v>#REF!</v>
      </c>
      <c r="CU30" s="398">
        <f>SUMIF(I$1:CO$1,3,I30:CO30)</f>
        <v>16</v>
      </c>
      <c r="CW30" s="270"/>
      <c r="CX30" s="270"/>
    </row>
    <row r="31" spans="1:102" ht="15" customHeight="1" x14ac:dyDescent="0.25">
      <c r="A31" s="406"/>
      <c r="B31" s="407" t="s">
        <v>515</v>
      </c>
      <c r="C31" s="79" t="s">
        <v>514</v>
      </c>
      <c r="D31" s="410" t="s">
        <v>513</v>
      </c>
      <c r="E31" s="79" t="s">
        <v>303</v>
      </c>
      <c r="F31" s="263">
        <f>((0.75*(1.014*1.012*1.015)*1.1/1.18)*1.028)*(1.058)</f>
        <v>0.79201833108364061</v>
      </c>
      <c r="G31" s="262">
        <f>F31*$G$1</f>
        <v>0</v>
      </c>
      <c r="I31" s="172">
        <v>1.376306417183081</v>
      </c>
      <c r="J31" s="171"/>
      <c r="K31" s="171"/>
      <c r="L31" s="171"/>
      <c r="M31" s="170"/>
      <c r="N31" s="403">
        <f>SUM(I31:M31)</f>
        <v>1.376306417183081</v>
      </c>
      <c r="O31" s="183">
        <v>1</v>
      </c>
      <c r="P31" s="399"/>
      <c r="Q31" s="249"/>
      <c r="R31" s="248"/>
      <c r="S31" s="248"/>
      <c r="T31" s="248"/>
      <c r="U31" s="248"/>
      <c r="V31" s="248"/>
      <c r="W31" s="247"/>
      <c r="X31" s="399">
        <f>P31*W$25</f>
        <v>0</v>
      </c>
      <c r="Z31" s="172"/>
      <c r="AA31" s="261"/>
      <c r="AB31" s="261"/>
      <c r="AC31" s="261"/>
      <c r="AD31" s="425"/>
      <c r="AE31" s="403">
        <f>SUM(Z31:AD31)</f>
        <v>0</v>
      </c>
      <c r="AF31" s="183">
        <v>1</v>
      </c>
      <c r="AG31" s="399"/>
      <c r="AH31" s="249"/>
      <c r="AI31" s="248"/>
      <c r="AJ31" s="248"/>
      <c r="AK31" s="248"/>
      <c r="AL31" s="248"/>
      <c r="AM31" s="248"/>
      <c r="AN31" s="247"/>
      <c r="AO31" s="399">
        <f>AG31*AN$25</f>
        <v>0</v>
      </c>
      <c r="AQ31" s="291"/>
      <c r="AR31" s="438"/>
      <c r="AS31" s="261"/>
      <c r="AT31" s="261"/>
      <c r="AU31" s="434"/>
      <c r="AV31" s="402">
        <f>SUM(AQ31:AU31)</f>
        <v>0</v>
      </c>
      <c r="AW31" s="183">
        <v>1</v>
      </c>
      <c r="AX31" s="399"/>
      <c r="AY31" s="249"/>
      <c r="AZ31" s="248"/>
      <c r="BA31" s="248"/>
      <c r="BB31" s="248"/>
      <c r="BC31" s="248"/>
      <c r="BD31" s="248"/>
      <c r="BE31" s="247"/>
      <c r="BF31" s="399"/>
      <c r="BH31" s="260"/>
      <c r="BI31" s="258"/>
      <c r="BJ31" s="258"/>
      <c r="BK31" s="258"/>
      <c r="BL31" s="259"/>
      <c r="BM31" s="401">
        <f>SUM(BH31:BL31)</f>
        <v>0</v>
      </c>
      <c r="BN31" s="183">
        <v>1</v>
      </c>
      <c r="BO31" s="399">
        <f>$G31*BM31*BN31</f>
        <v>0</v>
      </c>
      <c r="BP31" s="249"/>
      <c r="BQ31" s="248"/>
      <c r="BR31" s="248"/>
      <c r="BS31" s="248"/>
      <c r="BT31" s="248"/>
      <c r="BU31" s="248"/>
      <c r="BV31" s="247"/>
      <c r="BW31" s="399" t="e">
        <f>BO31*BV$25</f>
        <v>#REF!</v>
      </c>
      <c r="BY31" s="260"/>
      <c r="BZ31" s="258"/>
      <c r="CA31" s="258"/>
      <c r="CB31" s="258"/>
      <c r="CC31" s="259"/>
      <c r="CD31" s="401">
        <f>SUM(BY31:CC31)</f>
        <v>0</v>
      </c>
      <c r="CE31" s="183">
        <v>1</v>
      </c>
      <c r="CF31" s="399">
        <f>$G31*CD31*CE31</f>
        <v>0</v>
      </c>
      <c r="CG31" s="249"/>
      <c r="CH31" s="248"/>
      <c r="CI31" s="248"/>
      <c r="CJ31" s="248"/>
      <c r="CK31" s="248"/>
      <c r="CL31" s="248"/>
      <c r="CM31" s="247"/>
      <c r="CN31" s="399" t="e">
        <f>CF31*CM$25</f>
        <v>#REF!</v>
      </c>
      <c r="CP31" s="6"/>
      <c r="CQ31" s="398">
        <f>SUMIF(I$1:CO$1,1,I31:CO31)</f>
        <v>0</v>
      </c>
      <c r="CR31" s="6"/>
      <c r="CS31" s="398" t="e">
        <f>SUMIF(I$1:CO$1,2,I31:CO31)</f>
        <v>#REF!</v>
      </c>
      <c r="CU31" s="398">
        <f>SUMIF(I$1:CO$1,3,I31:CO31)</f>
        <v>0</v>
      </c>
      <c r="CW31" s="270"/>
      <c r="CX31" s="270"/>
    </row>
    <row r="32" spans="1:102" ht="15" customHeight="1" x14ac:dyDescent="0.25">
      <c r="A32" s="406"/>
      <c r="B32" s="405"/>
      <c r="C32" s="79" t="s">
        <v>512</v>
      </c>
      <c r="D32" s="410" t="s">
        <v>511</v>
      </c>
      <c r="E32" s="79" t="s">
        <v>303</v>
      </c>
      <c r="F32" s="263">
        <f>((2.4*(1.014*1.012*1.015)*1.1/1.18)*1.028)*(1.058)</f>
        <v>2.5344586594676506</v>
      </c>
      <c r="G32" s="262">
        <f>F32*$G$1</f>
        <v>0</v>
      </c>
      <c r="I32" s="172">
        <v>16.965949738170835</v>
      </c>
      <c r="J32" s="171"/>
      <c r="K32" s="171"/>
      <c r="L32" s="171"/>
      <c r="M32" s="170"/>
      <c r="N32" s="403">
        <f>SUM(I32:M32)</f>
        <v>16.965949738170835</v>
      </c>
      <c r="O32" s="183">
        <v>1</v>
      </c>
      <c r="P32" s="399"/>
      <c r="Q32" s="249"/>
      <c r="R32" s="248"/>
      <c r="S32" s="248"/>
      <c r="T32" s="248"/>
      <c r="U32" s="248"/>
      <c r="V32" s="248"/>
      <c r="W32" s="247"/>
      <c r="X32" s="399">
        <f>P32*W$25</f>
        <v>0</v>
      </c>
      <c r="Z32" s="172"/>
      <c r="AA32" s="171"/>
      <c r="AB32" s="171"/>
      <c r="AC32" s="171"/>
      <c r="AD32" s="170"/>
      <c r="AE32" s="403">
        <f>SUM(Z32:AD32)</f>
        <v>0</v>
      </c>
      <c r="AF32" s="183">
        <v>1</v>
      </c>
      <c r="AG32" s="399"/>
      <c r="AH32" s="249"/>
      <c r="AI32" s="248"/>
      <c r="AJ32" s="248"/>
      <c r="AK32" s="248"/>
      <c r="AL32" s="248"/>
      <c r="AM32" s="248"/>
      <c r="AN32" s="247"/>
      <c r="AO32" s="399">
        <f>AG32*AN$25</f>
        <v>0</v>
      </c>
      <c r="AQ32" s="291"/>
      <c r="AR32" s="438"/>
      <c r="AS32" s="261"/>
      <c r="AT32" s="261"/>
      <c r="AU32" s="434"/>
      <c r="AV32" s="402">
        <f>SUM(AQ32:AU32)</f>
        <v>0</v>
      </c>
      <c r="AW32" s="183">
        <v>1</v>
      </c>
      <c r="AX32" s="399"/>
      <c r="AY32" s="249"/>
      <c r="AZ32" s="248"/>
      <c r="BA32" s="248"/>
      <c r="BB32" s="248"/>
      <c r="BC32" s="248"/>
      <c r="BD32" s="248"/>
      <c r="BE32" s="247"/>
      <c r="BF32" s="399"/>
      <c r="BH32" s="437"/>
      <c r="BI32" s="258"/>
      <c r="BJ32" s="258"/>
      <c r="BK32" s="258"/>
      <c r="BL32" s="259"/>
      <c r="BM32" s="401">
        <f>SUM(BH32:BL32)</f>
        <v>0</v>
      </c>
      <c r="BN32" s="183">
        <v>1</v>
      </c>
      <c r="BO32" s="399">
        <f>$G32*BM32*BN32</f>
        <v>0</v>
      </c>
      <c r="BP32" s="249"/>
      <c r="BQ32" s="248"/>
      <c r="BR32" s="248"/>
      <c r="BS32" s="248"/>
      <c r="BT32" s="248"/>
      <c r="BU32" s="248"/>
      <c r="BV32" s="247"/>
      <c r="BW32" s="399" t="e">
        <f>BO32*BV$25</f>
        <v>#REF!</v>
      </c>
      <c r="BY32" s="437"/>
      <c r="BZ32" s="258"/>
      <c r="CA32" s="258"/>
      <c r="CB32" s="258"/>
      <c r="CC32" s="259"/>
      <c r="CD32" s="401">
        <f>SUM(BY32:CC32)</f>
        <v>0</v>
      </c>
      <c r="CE32" s="183">
        <v>1</v>
      </c>
      <c r="CF32" s="399">
        <f>$G32*CD32*CE32</f>
        <v>0</v>
      </c>
      <c r="CG32" s="249"/>
      <c r="CH32" s="248"/>
      <c r="CI32" s="248"/>
      <c r="CJ32" s="248"/>
      <c r="CK32" s="248"/>
      <c r="CL32" s="248"/>
      <c r="CM32" s="247"/>
      <c r="CN32" s="399" t="e">
        <f>CF32*CM$25</f>
        <v>#REF!</v>
      </c>
      <c r="CP32" s="6"/>
      <c r="CQ32" s="398">
        <f>SUMIF(I$1:CO$1,1,I32:CO32)</f>
        <v>0</v>
      </c>
      <c r="CR32" s="6"/>
      <c r="CS32" s="398" t="e">
        <f>SUMIF(I$1:CO$1,2,I32:CO32)</f>
        <v>#REF!</v>
      </c>
      <c r="CU32" s="398">
        <f>SUMIF(I$1:CO$1,3,I32:CO32)</f>
        <v>0</v>
      </c>
      <c r="CW32" s="270"/>
      <c r="CX32" s="270"/>
    </row>
    <row r="33" spans="1:102" ht="15" customHeight="1" x14ac:dyDescent="0.25">
      <c r="A33" s="406"/>
      <c r="B33" s="405"/>
      <c r="C33" s="79" t="s">
        <v>510</v>
      </c>
      <c r="D33" s="410" t="s">
        <v>509</v>
      </c>
      <c r="E33" s="79" t="s">
        <v>303</v>
      </c>
      <c r="F33" s="263">
        <f>((4.75*(1.014*1.012*1.015)*1.1/1.18)*1.028)*(1.058)</f>
        <v>5.0161160968630574</v>
      </c>
      <c r="G33" s="262">
        <f>F33*$G$1</f>
        <v>0</v>
      </c>
      <c r="I33" s="172"/>
      <c r="J33" s="171"/>
      <c r="K33" s="171"/>
      <c r="L33" s="171"/>
      <c r="M33" s="170"/>
      <c r="N33" s="403">
        <f>SUM(I33:M33)</f>
        <v>0</v>
      </c>
      <c r="O33" s="183">
        <v>1</v>
      </c>
      <c r="P33" s="399"/>
      <c r="Q33" s="249"/>
      <c r="R33" s="248"/>
      <c r="S33" s="248"/>
      <c r="T33" s="248"/>
      <c r="U33" s="248"/>
      <c r="V33" s="248"/>
      <c r="W33" s="247"/>
      <c r="X33" s="399">
        <f>P33*W$25</f>
        <v>0</v>
      </c>
      <c r="Z33" s="172"/>
      <c r="AA33" s="171"/>
      <c r="AB33" s="171"/>
      <c r="AC33" s="171"/>
      <c r="AD33" s="170"/>
      <c r="AE33" s="403">
        <f>SUM(Z33:AD33)</f>
        <v>0</v>
      </c>
      <c r="AF33" s="183">
        <v>1</v>
      </c>
      <c r="AG33" s="399"/>
      <c r="AH33" s="249"/>
      <c r="AI33" s="248"/>
      <c r="AJ33" s="248"/>
      <c r="AK33" s="248"/>
      <c r="AL33" s="248"/>
      <c r="AM33" s="248"/>
      <c r="AN33" s="247"/>
      <c r="AO33" s="399">
        <f>AG33*AN$25</f>
        <v>0</v>
      </c>
      <c r="AQ33" s="291"/>
      <c r="AR33" s="438"/>
      <c r="AS33" s="261"/>
      <c r="AT33" s="261"/>
      <c r="AU33" s="434"/>
      <c r="AV33" s="402">
        <f>SUM(AQ33:AU33)</f>
        <v>0</v>
      </c>
      <c r="AW33" s="183">
        <v>1</v>
      </c>
      <c r="AX33" s="399"/>
      <c r="AY33" s="249"/>
      <c r="AZ33" s="248"/>
      <c r="BA33" s="248"/>
      <c r="BB33" s="248"/>
      <c r="BC33" s="248"/>
      <c r="BD33" s="248"/>
      <c r="BE33" s="247"/>
      <c r="BF33" s="399"/>
      <c r="BH33" s="260"/>
      <c r="BI33" s="258"/>
      <c r="BJ33" s="258"/>
      <c r="BK33" s="258"/>
      <c r="BL33" s="259"/>
      <c r="BM33" s="401">
        <f>SUM(BH33:BL33)</f>
        <v>0</v>
      </c>
      <c r="BN33" s="183">
        <v>1</v>
      </c>
      <c r="BO33" s="399">
        <f>$G33*BM33*BN33</f>
        <v>0</v>
      </c>
      <c r="BP33" s="249"/>
      <c r="BQ33" s="248"/>
      <c r="BR33" s="248"/>
      <c r="BS33" s="248"/>
      <c r="BT33" s="248"/>
      <c r="BU33" s="248"/>
      <c r="BV33" s="247"/>
      <c r="BW33" s="399" t="e">
        <f>BO33*BV$25</f>
        <v>#REF!</v>
      </c>
      <c r="BY33" s="260"/>
      <c r="BZ33" s="258"/>
      <c r="CA33" s="258"/>
      <c r="CB33" s="258"/>
      <c r="CC33" s="259"/>
      <c r="CD33" s="401">
        <f>SUM(BY33:CC33)</f>
        <v>0</v>
      </c>
      <c r="CE33" s="183">
        <v>1</v>
      </c>
      <c r="CF33" s="399">
        <f>$G33*CD33*CE33</f>
        <v>0</v>
      </c>
      <c r="CG33" s="249"/>
      <c r="CH33" s="248"/>
      <c r="CI33" s="248"/>
      <c r="CJ33" s="248"/>
      <c r="CK33" s="248"/>
      <c r="CL33" s="248"/>
      <c r="CM33" s="247"/>
      <c r="CN33" s="399" t="e">
        <f>CF33*CM$25</f>
        <v>#REF!</v>
      </c>
      <c r="CP33" s="6"/>
      <c r="CQ33" s="398">
        <f>SUMIF(I$1:CO$1,1,I33:CO33)</f>
        <v>0</v>
      </c>
      <c r="CR33" s="6"/>
      <c r="CS33" s="398" t="e">
        <f>SUMIF(I$1:CO$1,2,I33:CO33)</f>
        <v>#REF!</v>
      </c>
      <c r="CU33" s="398">
        <f>SUMIF(I$1:CO$1,3,I33:CO33)</f>
        <v>0</v>
      </c>
      <c r="CW33" s="270"/>
      <c r="CX33" s="270"/>
    </row>
    <row r="34" spans="1:102" ht="15" customHeight="1" x14ac:dyDescent="0.25">
      <c r="A34" s="406"/>
      <c r="B34" s="405"/>
      <c r="C34" s="79" t="s">
        <v>508</v>
      </c>
      <c r="D34" s="410" t="s">
        <v>507</v>
      </c>
      <c r="E34" s="79" t="s">
        <v>303</v>
      </c>
      <c r="F34" s="263">
        <f>((2.2*(1.014*1.012*1.015)*1.1/1.18)*1.028)*(1.058)</f>
        <v>2.3232537711786794</v>
      </c>
      <c r="G34" s="262">
        <f>F34*$G$1</f>
        <v>0</v>
      </c>
      <c r="I34" s="172">
        <v>35.655154011855544</v>
      </c>
      <c r="J34" s="171"/>
      <c r="K34" s="171">
        <v>2.0414091451236742</v>
      </c>
      <c r="L34" s="171"/>
      <c r="M34" s="170">
        <v>1.5412544913691186</v>
      </c>
      <c r="N34" s="403">
        <f>SUM(I34:M34)</f>
        <v>39.237817648348333</v>
      </c>
      <c r="O34" s="183">
        <v>1</v>
      </c>
      <c r="P34" s="399"/>
      <c r="Q34" s="249"/>
      <c r="R34" s="248"/>
      <c r="S34" s="248"/>
      <c r="T34" s="248"/>
      <c r="U34" s="248"/>
      <c r="V34" s="248"/>
      <c r="W34" s="247"/>
      <c r="X34" s="399">
        <f>P34*W$25</f>
        <v>0</v>
      </c>
      <c r="Z34" s="172"/>
      <c r="AA34" s="171">
        <v>2.6576599230245188</v>
      </c>
      <c r="AB34" s="171"/>
      <c r="AC34" s="171">
        <v>3.2757933407763855</v>
      </c>
      <c r="AD34" s="170"/>
      <c r="AE34" s="403">
        <f>SUM(Z34:AD34)</f>
        <v>5.9334532638009048</v>
      </c>
      <c r="AF34" s="183">
        <v>1</v>
      </c>
      <c r="AG34" s="399"/>
      <c r="AH34" s="249"/>
      <c r="AI34" s="248"/>
      <c r="AJ34" s="248"/>
      <c r="AK34" s="248"/>
      <c r="AL34" s="248"/>
      <c r="AM34" s="248"/>
      <c r="AN34" s="247"/>
      <c r="AO34" s="399">
        <f>AG34*AN$25</f>
        <v>0</v>
      </c>
      <c r="AQ34" s="172">
        <v>3.9880587510792966</v>
      </c>
      <c r="AR34" s="294"/>
      <c r="AS34" s="171">
        <v>2.4255608190150668</v>
      </c>
      <c r="AT34" s="171"/>
      <c r="AU34" s="434"/>
      <c r="AV34" s="402">
        <f>SUM(AQ34:AU34)</f>
        <v>6.4136195700943635</v>
      </c>
      <c r="AW34" s="183">
        <v>1</v>
      </c>
      <c r="AX34" s="399"/>
      <c r="AY34" s="249"/>
      <c r="AZ34" s="248"/>
      <c r="BA34" s="248"/>
      <c r="BB34" s="248"/>
      <c r="BC34" s="248"/>
      <c r="BD34" s="248"/>
      <c r="BE34" s="247"/>
      <c r="BF34" s="399"/>
      <c r="BH34" s="437"/>
      <c r="BI34" s="258"/>
      <c r="BJ34" s="258"/>
      <c r="BK34" s="258"/>
      <c r="BL34" s="259"/>
      <c r="BM34" s="401">
        <f>SUM(BH34:BL34)</f>
        <v>0</v>
      </c>
      <c r="BN34" s="183">
        <v>1</v>
      </c>
      <c r="BO34" s="399">
        <f>$G34*BM34*BN34</f>
        <v>0</v>
      </c>
      <c r="BP34" s="249"/>
      <c r="BQ34" s="248"/>
      <c r="BR34" s="248"/>
      <c r="BS34" s="248"/>
      <c r="BT34" s="248"/>
      <c r="BU34" s="248"/>
      <c r="BV34" s="247"/>
      <c r="BW34" s="399" t="e">
        <f>BO34*BV$25</f>
        <v>#REF!</v>
      </c>
      <c r="BY34" s="437"/>
      <c r="BZ34" s="258"/>
      <c r="CA34" s="258"/>
      <c r="CB34" s="258"/>
      <c r="CC34" s="259"/>
      <c r="CD34" s="401">
        <f>SUM(BY34:CC34)</f>
        <v>0</v>
      </c>
      <c r="CE34" s="183">
        <v>1</v>
      </c>
      <c r="CF34" s="399">
        <f>$G34*CD34*CE34</f>
        <v>0</v>
      </c>
      <c r="CG34" s="249"/>
      <c r="CH34" s="248"/>
      <c r="CI34" s="248"/>
      <c r="CJ34" s="248"/>
      <c r="CK34" s="248"/>
      <c r="CL34" s="248"/>
      <c r="CM34" s="247"/>
      <c r="CN34" s="399" t="e">
        <f>CF34*CM$25</f>
        <v>#REF!</v>
      </c>
      <c r="CP34" s="6"/>
      <c r="CQ34" s="398">
        <f>SUMIF(I$1:CO$1,1,I34:CO34)</f>
        <v>0</v>
      </c>
      <c r="CR34" s="6"/>
      <c r="CS34" s="398" t="e">
        <f>SUMIF(I$1:CO$1,2,I34:CO34)</f>
        <v>#REF!</v>
      </c>
      <c r="CU34" s="398">
        <f>SUMIF(I$1:CO$1,3,I34:CO34)</f>
        <v>12.347072833895268</v>
      </c>
      <c r="CW34" s="270"/>
      <c r="CX34" s="270"/>
    </row>
    <row r="35" spans="1:102" ht="15" customHeight="1" x14ac:dyDescent="0.25">
      <c r="A35" s="406"/>
      <c r="B35" s="436"/>
      <c r="C35" s="79" t="s">
        <v>506</v>
      </c>
      <c r="D35" s="410" t="s">
        <v>505</v>
      </c>
      <c r="E35" s="79" t="s">
        <v>303</v>
      </c>
      <c r="F35" s="263">
        <f>((1.8*(1.014*1.012*1.015)*1.1/1.18)*1.028)*(1.058)</f>
        <v>1.9008439946007378</v>
      </c>
      <c r="G35" s="262">
        <f>F35*$G$1</f>
        <v>0</v>
      </c>
      <c r="I35" s="172"/>
      <c r="J35" s="171"/>
      <c r="K35" s="171"/>
      <c r="L35" s="171"/>
      <c r="M35" s="170"/>
      <c r="N35" s="403">
        <f>SUM(I35:M35)</f>
        <v>0</v>
      </c>
      <c r="O35" s="183">
        <v>1</v>
      </c>
      <c r="P35" s="399"/>
      <c r="Q35" s="249"/>
      <c r="R35" s="248"/>
      <c r="S35" s="248"/>
      <c r="T35" s="248"/>
      <c r="U35" s="248"/>
      <c r="V35" s="248"/>
      <c r="W35" s="247"/>
      <c r="X35" s="399">
        <f>P35*W$25</f>
        <v>0</v>
      </c>
      <c r="Z35" s="172"/>
      <c r="AA35" s="171"/>
      <c r="AB35" s="171"/>
      <c r="AC35" s="171"/>
      <c r="AD35" s="170"/>
      <c r="AE35" s="403">
        <f>SUM(Z35:AD35)</f>
        <v>0</v>
      </c>
      <c r="AF35" s="183">
        <v>1</v>
      </c>
      <c r="AG35" s="399"/>
      <c r="AH35" s="249"/>
      <c r="AI35" s="248"/>
      <c r="AJ35" s="248"/>
      <c r="AK35" s="248"/>
      <c r="AL35" s="248"/>
      <c r="AM35" s="248"/>
      <c r="AN35" s="247"/>
      <c r="AO35" s="399">
        <f>AG35*AN$25</f>
        <v>0</v>
      </c>
      <c r="AQ35" s="172"/>
      <c r="AR35" s="294"/>
      <c r="AS35" s="171"/>
      <c r="AT35" s="171"/>
      <c r="AU35" s="434"/>
      <c r="AV35" s="402">
        <f>SUM(AQ35:AU35)</f>
        <v>0</v>
      </c>
      <c r="AW35" s="183">
        <v>1</v>
      </c>
      <c r="AX35" s="399"/>
      <c r="AY35" s="249"/>
      <c r="AZ35" s="248"/>
      <c r="BA35" s="248"/>
      <c r="BB35" s="248"/>
      <c r="BC35" s="248"/>
      <c r="BD35" s="248"/>
      <c r="BE35" s="247"/>
      <c r="BF35" s="399"/>
      <c r="BH35" s="260"/>
      <c r="BI35" s="258"/>
      <c r="BJ35" s="258"/>
      <c r="BK35" s="258"/>
      <c r="BL35" s="259"/>
      <c r="BM35" s="401">
        <f>SUM(BH35:BL35)</f>
        <v>0</v>
      </c>
      <c r="BN35" s="183">
        <v>1</v>
      </c>
      <c r="BO35" s="399">
        <f>$G35*BM35*BN35</f>
        <v>0</v>
      </c>
      <c r="BP35" s="249"/>
      <c r="BQ35" s="248"/>
      <c r="BR35" s="248"/>
      <c r="BS35" s="248"/>
      <c r="BT35" s="248"/>
      <c r="BU35" s="248"/>
      <c r="BV35" s="247"/>
      <c r="BW35" s="399" t="e">
        <f>BO35*BV$25</f>
        <v>#REF!</v>
      </c>
      <c r="BY35" s="260"/>
      <c r="BZ35" s="258"/>
      <c r="CA35" s="258"/>
      <c r="CB35" s="258"/>
      <c r="CC35" s="259"/>
      <c r="CD35" s="401">
        <f>SUM(BY35:CC35)</f>
        <v>0</v>
      </c>
      <c r="CE35" s="183">
        <v>1</v>
      </c>
      <c r="CF35" s="399">
        <f>$G35*CD35*CE35</f>
        <v>0</v>
      </c>
      <c r="CG35" s="249"/>
      <c r="CH35" s="248"/>
      <c r="CI35" s="248"/>
      <c r="CJ35" s="248"/>
      <c r="CK35" s="248"/>
      <c r="CL35" s="248"/>
      <c r="CM35" s="247"/>
      <c r="CN35" s="399" t="e">
        <f>CF35*CM$25</f>
        <v>#REF!</v>
      </c>
      <c r="CP35" s="6"/>
      <c r="CQ35" s="398">
        <f>SUMIF(I$1:CO$1,1,I35:CO35)</f>
        <v>0</v>
      </c>
      <c r="CR35" s="6"/>
      <c r="CS35" s="398" t="e">
        <f>SUMIF(I$1:CO$1,2,I35:CO35)</f>
        <v>#REF!</v>
      </c>
      <c r="CU35" s="398">
        <f>SUMIF(I$1:CO$1,3,I35:CO35)</f>
        <v>0</v>
      </c>
      <c r="CW35" s="270"/>
      <c r="CX35" s="270"/>
    </row>
    <row r="36" spans="1:102" ht="15" customHeight="1" x14ac:dyDescent="0.25">
      <c r="A36" s="406"/>
      <c r="B36" s="407" t="s">
        <v>178</v>
      </c>
      <c r="C36" s="79" t="s">
        <v>73</v>
      </c>
      <c r="D36" s="255" t="s">
        <v>504</v>
      </c>
      <c r="E36" s="254" t="s">
        <v>106</v>
      </c>
      <c r="F36" s="308"/>
      <c r="G36" s="308">
        <f>F36*$G$1</f>
        <v>0</v>
      </c>
      <c r="I36" s="172">
        <v>3.0542277599999998</v>
      </c>
      <c r="J36" s="171"/>
      <c r="K36" s="171"/>
      <c r="L36" s="171">
        <v>2.6945883300000002</v>
      </c>
      <c r="M36" s="170"/>
      <c r="N36" s="403">
        <f>SUM(I36:M36)</f>
        <v>5.74881609</v>
      </c>
      <c r="O36" s="183">
        <v>1</v>
      </c>
      <c r="P36" s="399"/>
      <c r="Q36" s="249"/>
      <c r="R36" s="248"/>
      <c r="S36" s="248"/>
      <c r="T36" s="248"/>
      <c r="U36" s="248"/>
      <c r="V36" s="248"/>
      <c r="W36" s="247"/>
      <c r="X36" s="399">
        <f>P36*W$25</f>
        <v>0</v>
      </c>
      <c r="Z36" s="172">
        <v>2.6397548</v>
      </c>
      <c r="AA36" s="171"/>
      <c r="AB36" s="171">
        <v>3.29775719</v>
      </c>
      <c r="AC36" s="171"/>
      <c r="AD36" s="170">
        <v>2.7713552799999999</v>
      </c>
      <c r="AE36" s="403">
        <f>SUM(Z36:AD36)</f>
        <v>8.7088672699999989</v>
      </c>
      <c r="AF36" s="183">
        <v>1</v>
      </c>
      <c r="AG36" s="399"/>
      <c r="AH36" s="249"/>
      <c r="AI36" s="248"/>
      <c r="AJ36" s="248"/>
      <c r="AK36" s="248"/>
      <c r="AL36" s="248"/>
      <c r="AM36" s="248"/>
      <c r="AN36" s="247"/>
      <c r="AO36" s="399">
        <f>AG36*AN$25</f>
        <v>0</v>
      </c>
      <c r="AQ36" s="172"/>
      <c r="AR36" s="294"/>
      <c r="AS36" s="171"/>
      <c r="AT36" s="171"/>
      <c r="AU36" s="434"/>
      <c r="AV36" s="402">
        <f>SUM(AQ36:AU36)</f>
        <v>0</v>
      </c>
      <c r="AW36" s="183">
        <v>1</v>
      </c>
      <c r="AX36" s="399"/>
      <c r="AY36" s="249"/>
      <c r="AZ36" s="248"/>
      <c r="BA36" s="248"/>
      <c r="BB36" s="248"/>
      <c r="BC36" s="248"/>
      <c r="BD36" s="248"/>
      <c r="BE36" s="247"/>
      <c r="BF36" s="399"/>
      <c r="BH36" s="260"/>
      <c r="BI36" s="258"/>
      <c r="BJ36" s="258"/>
      <c r="BK36" s="258"/>
      <c r="BL36" s="259"/>
      <c r="BM36" s="401">
        <f>SUM(BH36:BL36)</f>
        <v>0</v>
      </c>
      <c r="BN36" s="183">
        <v>1</v>
      </c>
      <c r="BO36" s="399">
        <f>$G36*BM36*BN36</f>
        <v>0</v>
      </c>
      <c r="BP36" s="249"/>
      <c r="BQ36" s="248"/>
      <c r="BR36" s="248"/>
      <c r="BS36" s="248"/>
      <c r="BT36" s="248"/>
      <c r="BU36" s="248"/>
      <c r="BV36" s="247"/>
      <c r="BW36" s="399" t="e">
        <f>BO36*BV$25</f>
        <v>#REF!</v>
      </c>
      <c r="BY36" s="260"/>
      <c r="BZ36" s="258"/>
      <c r="CA36" s="258"/>
      <c r="CB36" s="258"/>
      <c r="CC36" s="259"/>
      <c r="CD36" s="401">
        <f>SUM(BY36:CC36)</f>
        <v>0</v>
      </c>
      <c r="CE36" s="183">
        <v>1</v>
      </c>
      <c r="CF36" s="399">
        <f>$G36*CD36*CE36</f>
        <v>0</v>
      </c>
      <c r="CG36" s="249"/>
      <c r="CH36" s="248"/>
      <c r="CI36" s="248"/>
      <c r="CJ36" s="248"/>
      <c r="CK36" s="248"/>
      <c r="CL36" s="248"/>
      <c r="CM36" s="247"/>
      <c r="CN36" s="399" t="e">
        <f>CF36*CM$25</f>
        <v>#REF!</v>
      </c>
      <c r="CP36" s="6"/>
      <c r="CQ36" s="398">
        <f>SUMIF(I$1:CO$1,1,I36:CO36)</f>
        <v>0</v>
      </c>
      <c r="CR36" s="6"/>
      <c r="CS36" s="398" t="e">
        <f>SUMIF(I$1:CO$1,2,I36:CO36)</f>
        <v>#REF!</v>
      </c>
      <c r="CU36" s="246"/>
      <c r="CW36" s="270"/>
      <c r="CX36" s="270"/>
    </row>
    <row r="37" spans="1:102" ht="15" customHeight="1" x14ac:dyDescent="0.25">
      <c r="A37" s="406"/>
      <c r="B37" s="405"/>
      <c r="C37" s="79" t="s">
        <v>72</v>
      </c>
      <c r="D37" s="255" t="s">
        <v>503</v>
      </c>
      <c r="E37" s="254" t="s">
        <v>106</v>
      </c>
      <c r="F37" s="308"/>
      <c r="G37" s="308">
        <f>F37*$G$1</f>
        <v>0</v>
      </c>
      <c r="I37" s="172"/>
      <c r="J37" s="171">
        <v>2.3229605000000002</v>
      </c>
      <c r="K37" s="171">
        <v>1.9303409199999999</v>
      </c>
      <c r="L37" s="171"/>
      <c r="M37" s="170"/>
      <c r="N37" s="403">
        <f>SUM(I37:M37)</f>
        <v>4.2533014199999997</v>
      </c>
      <c r="O37" s="183">
        <v>1</v>
      </c>
      <c r="P37" s="399"/>
      <c r="Q37" s="249"/>
      <c r="R37" s="248"/>
      <c r="S37" s="248"/>
      <c r="T37" s="248"/>
      <c r="U37" s="248"/>
      <c r="V37" s="248"/>
      <c r="W37" s="247"/>
      <c r="X37" s="399">
        <f>P37*W$25</f>
        <v>0</v>
      </c>
      <c r="Z37" s="251"/>
      <c r="AA37" s="250"/>
      <c r="AB37" s="250"/>
      <c r="AC37" s="250"/>
      <c r="AD37" s="435"/>
      <c r="AE37" s="403">
        <f>SUM(Z37:AD37)</f>
        <v>0</v>
      </c>
      <c r="AF37" s="183">
        <v>1</v>
      </c>
      <c r="AG37" s="399"/>
      <c r="AH37" s="249"/>
      <c r="AI37" s="248"/>
      <c r="AJ37" s="248"/>
      <c r="AK37" s="248"/>
      <c r="AL37" s="248"/>
      <c r="AM37" s="248"/>
      <c r="AN37" s="247"/>
      <c r="AO37" s="399">
        <f>AG37*AN$25</f>
        <v>0</v>
      </c>
      <c r="AQ37" s="172">
        <v>1.9040617</v>
      </c>
      <c r="AR37" s="294"/>
      <c r="AS37" s="171"/>
      <c r="AT37" s="171"/>
      <c r="AU37" s="434"/>
      <c r="AV37" s="402">
        <f>SUM(AQ37:AU37)</f>
        <v>1.9040617</v>
      </c>
      <c r="AW37" s="183">
        <v>1</v>
      </c>
      <c r="AX37" s="399"/>
      <c r="AY37" s="249"/>
      <c r="AZ37" s="248"/>
      <c r="BA37" s="248"/>
      <c r="BB37" s="248"/>
      <c r="BC37" s="248"/>
      <c r="BD37" s="248"/>
      <c r="BE37" s="247"/>
      <c r="BF37" s="399"/>
      <c r="BH37" s="260"/>
      <c r="BI37" s="258"/>
      <c r="BJ37" s="258"/>
      <c r="BK37" s="258"/>
      <c r="BL37" s="259"/>
      <c r="BM37" s="401">
        <f>SUM(BH37:BL37)</f>
        <v>0</v>
      </c>
      <c r="BN37" s="183">
        <v>1</v>
      </c>
      <c r="BO37" s="399">
        <f>$G37*BM37*BN37</f>
        <v>0</v>
      </c>
      <c r="BP37" s="249"/>
      <c r="BQ37" s="248"/>
      <c r="BR37" s="248"/>
      <c r="BS37" s="248"/>
      <c r="BT37" s="248"/>
      <c r="BU37" s="248"/>
      <c r="BV37" s="247"/>
      <c r="BW37" s="399" t="e">
        <f>BO37*BV$25</f>
        <v>#REF!</v>
      </c>
      <c r="BY37" s="260"/>
      <c r="BZ37" s="258"/>
      <c r="CA37" s="258"/>
      <c r="CB37" s="258"/>
      <c r="CC37" s="259"/>
      <c r="CD37" s="401">
        <f>SUM(BY37:CC37)</f>
        <v>0</v>
      </c>
      <c r="CE37" s="183">
        <v>1</v>
      </c>
      <c r="CF37" s="399">
        <f>$G37*CD37*CE37</f>
        <v>0</v>
      </c>
      <c r="CG37" s="249"/>
      <c r="CH37" s="248"/>
      <c r="CI37" s="248"/>
      <c r="CJ37" s="248"/>
      <c r="CK37" s="248"/>
      <c r="CL37" s="248"/>
      <c r="CM37" s="247"/>
      <c r="CN37" s="399" t="e">
        <f>CF37*CM$25</f>
        <v>#REF!</v>
      </c>
      <c r="CP37" s="6"/>
      <c r="CQ37" s="398">
        <f>SUMIF(I$1:CO$1,1,I37:CO37)</f>
        <v>0</v>
      </c>
      <c r="CR37" s="6"/>
      <c r="CS37" s="398" t="e">
        <f>SUMIF(I$1:CO$1,2,I37:CO37)</f>
        <v>#REF!</v>
      </c>
      <c r="CU37" s="246"/>
      <c r="CW37" s="270"/>
      <c r="CX37" s="270"/>
    </row>
    <row r="38" spans="1:102" ht="15" customHeight="1" x14ac:dyDescent="0.25">
      <c r="A38" s="406"/>
      <c r="B38" s="405"/>
      <c r="C38" s="79" t="s">
        <v>71</v>
      </c>
      <c r="D38" s="255" t="s">
        <v>175</v>
      </c>
      <c r="E38" s="254" t="s">
        <v>243</v>
      </c>
      <c r="F38" s="308"/>
      <c r="G38" s="308">
        <f>F38*$G$1</f>
        <v>0</v>
      </c>
      <c r="I38" s="172"/>
      <c r="J38" s="171"/>
      <c r="K38" s="171"/>
      <c r="L38" s="171"/>
      <c r="M38" s="170"/>
      <c r="N38" s="403">
        <f>SUM(I38:M38)</f>
        <v>0</v>
      </c>
      <c r="O38" s="183">
        <v>1</v>
      </c>
      <c r="P38" s="399"/>
      <c r="Q38" s="249"/>
      <c r="R38" s="248"/>
      <c r="S38" s="248"/>
      <c r="T38" s="248"/>
      <c r="U38" s="248"/>
      <c r="V38" s="248"/>
      <c r="W38" s="247"/>
      <c r="X38" s="399">
        <f>P38*W$25</f>
        <v>0</v>
      </c>
      <c r="Z38" s="172"/>
      <c r="AA38" s="171"/>
      <c r="AB38" s="171"/>
      <c r="AC38" s="171"/>
      <c r="AD38" s="170"/>
      <c r="AE38" s="403">
        <f>SUM(Z38:AD38)</f>
        <v>0</v>
      </c>
      <c r="AF38" s="183">
        <v>1</v>
      </c>
      <c r="AG38" s="399"/>
      <c r="AH38" s="249"/>
      <c r="AI38" s="248"/>
      <c r="AJ38" s="248"/>
      <c r="AK38" s="248"/>
      <c r="AL38" s="248"/>
      <c r="AM38" s="248"/>
      <c r="AN38" s="247"/>
      <c r="AO38" s="399">
        <f>AG38*AN$25</f>
        <v>0</v>
      </c>
      <c r="AQ38" s="172"/>
      <c r="AR38" s="294"/>
      <c r="AS38" s="171"/>
      <c r="AT38" s="171"/>
      <c r="AU38" s="434"/>
      <c r="AV38" s="402">
        <f>SUM(AQ38:AU38)</f>
        <v>0</v>
      </c>
      <c r="AW38" s="183">
        <v>1</v>
      </c>
      <c r="AX38" s="399"/>
      <c r="AY38" s="249"/>
      <c r="AZ38" s="248"/>
      <c r="BA38" s="248"/>
      <c r="BB38" s="248"/>
      <c r="BC38" s="248"/>
      <c r="BD38" s="248"/>
      <c r="BE38" s="247"/>
      <c r="BF38" s="399"/>
      <c r="BH38" s="260"/>
      <c r="BI38" s="258"/>
      <c r="BJ38" s="258"/>
      <c r="BK38" s="258"/>
      <c r="BL38" s="259"/>
      <c r="BM38" s="401">
        <f>SUM(BH38:BL38)</f>
        <v>0</v>
      </c>
      <c r="BN38" s="183">
        <v>1</v>
      </c>
      <c r="BO38" s="399">
        <f>$G38*BM38*BN38</f>
        <v>0</v>
      </c>
      <c r="BP38" s="249"/>
      <c r="BQ38" s="248"/>
      <c r="BR38" s="248"/>
      <c r="BS38" s="248"/>
      <c r="BT38" s="248"/>
      <c r="BU38" s="248"/>
      <c r="BV38" s="247"/>
      <c r="BW38" s="399" t="e">
        <f>BO38*BV$25</f>
        <v>#REF!</v>
      </c>
      <c r="BY38" s="260"/>
      <c r="BZ38" s="258"/>
      <c r="CA38" s="258"/>
      <c r="CB38" s="258"/>
      <c r="CC38" s="259"/>
      <c r="CD38" s="401">
        <f>SUM(BY38:CC38)</f>
        <v>0</v>
      </c>
      <c r="CE38" s="183">
        <v>1</v>
      </c>
      <c r="CF38" s="399">
        <f>$G38*CD38*CE38</f>
        <v>0</v>
      </c>
      <c r="CG38" s="249"/>
      <c r="CH38" s="248"/>
      <c r="CI38" s="248"/>
      <c r="CJ38" s="248"/>
      <c r="CK38" s="248"/>
      <c r="CL38" s="248"/>
      <c r="CM38" s="247"/>
      <c r="CN38" s="399" t="e">
        <f>CF38*CM$25</f>
        <v>#REF!</v>
      </c>
      <c r="CP38" s="6"/>
      <c r="CQ38" s="398">
        <f>SUMIF(I$1:CO$1,1,I38:CO38)</f>
        <v>0</v>
      </c>
      <c r="CR38" s="6"/>
      <c r="CS38" s="398" t="e">
        <f>SUMIF(I$1:CO$1,2,I38:CO38)</f>
        <v>#REF!</v>
      </c>
      <c r="CU38" s="398">
        <f>SUMIF(I$1:CO$1,3,I38:CO38)</f>
        <v>0</v>
      </c>
      <c r="CW38" s="270"/>
      <c r="CX38" s="270"/>
    </row>
    <row r="39" spans="1:102" ht="15" customHeight="1" x14ac:dyDescent="0.25">
      <c r="A39" s="406"/>
      <c r="B39" s="405"/>
      <c r="C39" s="79" t="s">
        <v>70</v>
      </c>
      <c r="D39" s="252" t="s">
        <v>502</v>
      </c>
      <c r="E39" s="174" t="s">
        <v>106</v>
      </c>
      <c r="F39" s="292">
        <f>2.5*1.058</f>
        <v>2.645</v>
      </c>
      <c r="G39" s="292">
        <f>F39*$G$1</f>
        <v>0</v>
      </c>
      <c r="I39" s="172">
        <v>14.157</v>
      </c>
      <c r="J39" s="171"/>
      <c r="K39" s="171"/>
      <c r="L39" s="171"/>
      <c r="M39" s="170"/>
      <c r="N39" s="403">
        <f>SUM(I39:M39)</f>
        <v>14.157</v>
      </c>
      <c r="O39" s="183">
        <v>1</v>
      </c>
      <c r="P39" s="399"/>
      <c r="Q39" s="249"/>
      <c r="R39" s="248"/>
      <c r="S39" s="248"/>
      <c r="T39" s="248"/>
      <c r="U39" s="248"/>
      <c r="V39" s="248"/>
      <c r="W39" s="247"/>
      <c r="X39" s="399">
        <f>P39*W$25</f>
        <v>0</v>
      </c>
      <c r="Z39" s="172"/>
      <c r="AA39" s="171"/>
      <c r="AB39" s="171"/>
      <c r="AC39" s="171"/>
      <c r="AD39" s="170"/>
      <c r="AE39" s="403">
        <f>SUM(Z39:AD39)</f>
        <v>0</v>
      </c>
      <c r="AF39" s="183">
        <v>1</v>
      </c>
      <c r="AG39" s="399"/>
      <c r="AH39" s="249"/>
      <c r="AI39" s="248"/>
      <c r="AJ39" s="248"/>
      <c r="AK39" s="248"/>
      <c r="AL39" s="248"/>
      <c r="AM39" s="248"/>
      <c r="AN39" s="247"/>
      <c r="AO39" s="399">
        <f>AG39*AN$25</f>
        <v>0</v>
      </c>
      <c r="AQ39" s="172"/>
      <c r="AR39" s="294"/>
      <c r="AS39" s="171"/>
      <c r="AT39" s="171"/>
      <c r="AU39" s="434"/>
      <c r="AV39" s="402">
        <f>SUM(AQ39:AU39)</f>
        <v>0</v>
      </c>
      <c r="AW39" s="183">
        <v>1</v>
      </c>
      <c r="AX39" s="399"/>
      <c r="AY39" s="249"/>
      <c r="AZ39" s="248"/>
      <c r="BA39" s="248"/>
      <c r="BB39" s="248"/>
      <c r="BC39" s="248"/>
      <c r="BD39" s="248"/>
      <c r="BE39" s="247"/>
      <c r="BF39" s="399"/>
      <c r="BH39" s="260"/>
      <c r="BI39" s="258"/>
      <c r="BJ39" s="258"/>
      <c r="BK39" s="258"/>
      <c r="BL39" s="259"/>
      <c r="BM39" s="401">
        <f>SUM(BH39:BL39)</f>
        <v>0</v>
      </c>
      <c r="BN39" s="183">
        <v>1</v>
      </c>
      <c r="BO39" s="399">
        <f>$F39*BM39*BN39</f>
        <v>0</v>
      </c>
      <c r="BP39" s="249"/>
      <c r="BQ39" s="248"/>
      <c r="BR39" s="248"/>
      <c r="BS39" s="248"/>
      <c r="BT39" s="248"/>
      <c r="BU39" s="248"/>
      <c r="BV39" s="247"/>
      <c r="BW39" s="399" t="e">
        <f>BO39*BV$25</f>
        <v>#REF!</v>
      </c>
      <c r="BY39" s="260"/>
      <c r="BZ39" s="258"/>
      <c r="CA39" s="258"/>
      <c r="CB39" s="258"/>
      <c r="CC39" s="259"/>
      <c r="CD39" s="401">
        <f>SUM(BY39:CC39)</f>
        <v>0</v>
      </c>
      <c r="CE39" s="183">
        <v>1</v>
      </c>
      <c r="CF39" s="399">
        <f>$F39*CD39*CE39</f>
        <v>0</v>
      </c>
      <c r="CG39" s="249"/>
      <c r="CH39" s="248"/>
      <c r="CI39" s="248"/>
      <c r="CJ39" s="248"/>
      <c r="CK39" s="248"/>
      <c r="CL39" s="248"/>
      <c r="CM39" s="247"/>
      <c r="CN39" s="399" t="e">
        <f>CF39*CM$25</f>
        <v>#REF!</v>
      </c>
      <c r="CP39" s="6"/>
      <c r="CQ39" s="398">
        <f>SUMIF(I$1:CO$1,1,I39:CO39)</f>
        <v>0</v>
      </c>
      <c r="CR39" s="6"/>
      <c r="CS39" s="398" t="e">
        <f>SUMIF(I$1:CO$1,2,I39:CO39)</f>
        <v>#REF!</v>
      </c>
      <c r="CU39" s="418"/>
      <c r="CW39" s="270"/>
      <c r="CX39" s="270"/>
    </row>
    <row r="40" spans="1:102" ht="15" customHeight="1" x14ac:dyDescent="0.25">
      <c r="A40" s="406"/>
      <c r="B40" s="405"/>
      <c r="C40" s="79" t="s">
        <v>69</v>
      </c>
      <c r="D40" s="199" t="s">
        <v>501</v>
      </c>
      <c r="E40" s="174" t="s">
        <v>106</v>
      </c>
      <c r="F40" s="292">
        <f>2*1.058</f>
        <v>2.1160000000000001</v>
      </c>
      <c r="G40" s="292">
        <f>F40*$G$1</f>
        <v>0</v>
      </c>
      <c r="I40" s="172"/>
      <c r="J40" s="171">
        <v>1.5221019990548204</v>
      </c>
      <c r="K40" s="171"/>
      <c r="L40" s="171"/>
      <c r="M40" s="170"/>
      <c r="N40" s="403">
        <f>SUM(I40:M40)</f>
        <v>1.5221019990548204</v>
      </c>
      <c r="O40" s="183">
        <v>1</v>
      </c>
      <c r="P40" s="399"/>
      <c r="Q40" s="238"/>
      <c r="R40" s="237"/>
      <c r="S40" s="237"/>
      <c r="T40" s="237"/>
      <c r="U40" s="237"/>
      <c r="V40" s="237"/>
      <c r="W40" s="236"/>
      <c r="X40" s="399">
        <f>P40*W$25</f>
        <v>0</v>
      </c>
      <c r="Z40" s="172"/>
      <c r="AA40" s="171"/>
      <c r="AB40" s="171"/>
      <c r="AC40" s="171"/>
      <c r="AD40" s="170"/>
      <c r="AE40" s="403"/>
      <c r="AF40" s="183">
        <v>1</v>
      </c>
      <c r="AG40" s="399"/>
      <c r="AH40" s="238"/>
      <c r="AI40" s="237"/>
      <c r="AJ40" s="237"/>
      <c r="AK40" s="237"/>
      <c r="AL40" s="237"/>
      <c r="AM40" s="237"/>
      <c r="AN40" s="236"/>
      <c r="AO40" s="399">
        <f>AG40*AN$25</f>
        <v>0</v>
      </c>
      <c r="AQ40" s="172"/>
      <c r="AR40" s="294">
        <v>1.4326279820415877</v>
      </c>
      <c r="AS40" s="171"/>
      <c r="AT40" s="171"/>
      <c r="AU40" s="434"/>
      <c r="AV40" s="402">
        <f>SUM(AQ40:AU40)</f>
        <v>1.4326279820415877</v>
      </c>
      <c r="AW40" s="183">
        <v>1</v>
      </c>
      <c r="AX40" s="399"/>
      <c r="AY40" s="238"/>
      <c r="AZ40" s="237"/>
      <c r="BA40" s="237"/>
      <c r="BB40" s="237"/>
      <c r="BC40" s="237"/>
      <c r="BD40" s="237"/>
      <c r="BE40" s="236"/>
      <c r="BF40" s="399"/>
      <c r="BH40" s="260"/>
      <c r="BI40" s="258"/>
      <c r="BJ40" s="258"/>
      <c r="BK40" s="258"/>
      <c r="BL40" s="259"/>
      <c r="BM40" s="401"/>
      <c r="BN40" s="183">
        <v>1</v>
      </c>
      <c r="BO40" s="399">
        <f>SUM(BH40:BL40)</f>
        <v>0</v>
      </c>
      <c r="BP40" s="238"/>
      <c r="BQ40" s="237"/>
      <c r="BR40" s="237"/>
      <c r="BS40" s="237"/>
      <c r="BT40" s="237"/>
      <c r="BU40" s="237"/>
      <c r="BV40" s="236"/>
      <c r="BW40" s="399" t="e">
        <f>BO40*BV$25</f>
        <v>#REF!</v>
      </c>
      <c r="BY40" s="260"/>
      <c r="BZ40" s="258"/>
      <c r="CA40" s="258"/>
      <c r="CB40" s="258"/>
      <c r="CC40" s="259"/>
      <c r="CD40" s="401">
        <f>SUM(BY40:CC40)</f>
        <v>0</v>
      </c>
      <c r="CE40" s="183">
        <v>1</v>
      </c>
      <c r="CF40" s="399">
        <f>$F40*CD40*CE40</f>
        <v>0</v>
      </c>
      <c r="CG40" s="238"/>
      <c r="CH40" s="237"/>
      <c r="CI40" s="237"/>
      <c r="CJ40" s="237"/>
      <c r="CK40" s="237"/>
      <c r="CL40" s="237"/>
      <c r="CM40" s="236"/>
      <c r="CN40" s="399" t="e">
        <f>CF40*CM$25</f>
        <v>#REF!</v>
      </c>
      <c r="CP40" s="6"/>
      <c r="CQ40" s="398">
        <f>SUMIF(I$1:CO$1,1,I40:CO40)</f>
        <v>0</v>
      </c>
      <c r="CR40" s="6"/>
      <c r="CS40" s="398" t="e">
        <f>SUMIF(I$1:CO$1,2,I40:CO40)</f>
        <v>#REF!</v>
      </c>
      <c r="CU40" s="418"/>
      <c r="CW40" s="270"/>
      <c r="CX40" s="270"/>
    </row>
    <row r="41" spans="1:102" ht="15" customHeight="1" thickBot="1" x14ac:dyDescent="0.3">
      <c r="A41" s="397"/>
      <c r="B41" s="154"/>
      <c r="C41" s="152"/>
      <c r="D41" s="153" t="s">
        <v>148</v>
      </c>
      <c r="E41" s="152"/>
      <c r="F41" s="432"/>
      <c r="G41" s="432"/>
      <c r="I41" s="150"/>
      <c r="J41" s="149"/>
      <c r="K41" s="149"/>
      <c r="L41" s="149"/>
      <c r="M41" s="148"/>
      <c r="N41" s="147"/>
      <c r="O41" s="141"/>
      <c r="P41" s="140"/>
      <c r="Q41" s="142"/>
      <c r="R41" s="142"/>
      <c r="S41" s="142"/>
      <c r="T41" s="142"/>
      <c r="U41" s="142"/>
      <c r="V41" s="142"/>
      <c r="W41" s="141"/>
      <c r="X41" s="140">
        <f>SUM(X25:X40)</f>
        <v>0</v>
      </c>
      <c r="Z41" s="431"/>
      <c r="AA41" s="433"/>
      <c r="AB41" s="433"/>
      <c r="AC41" s="433"/>
      <c r="AD41" s="432"/>
      <c r="AE41" s="147"/>
      <c r="AF41" s="141"/>
      <c r="AG41" s="140"/>
      <c r="AH41" s="142"/>
      <c r="AI41" s="142"/>
      <c r="AJ41" s="142"/>
      <c r="AK41" s="142"/>
      <c r="AL41" s="142"/>
      <c r="AM41" s="142"/>
      <c r="AN41" s="141"/>
      <c r="AO41" s="140">
        <f>SUM(AO25:AO40)</f>
        <v>0</v>
      </c>
      <c r="AQ41" s="431"/>
      <c r="AR41" s="149"/>
      <c r="AS41" s="149"/>
      <c r="AT41" s="149"/>
      <c r="AU41" s="149"/>
      <c r="AV41" s="146"/>
      <c r="AW41" s="141"/>
      <c r="AX41" s="140"/>
      <c r="AY41" s="142"/>
      <c r="AZ41" s="142"/>
      <c r="BA41" s="142"/>
      <c r="BB41" s="142"/>
      <c r="BC41" s="142"/>
      <c r="BD41" s="142"/>
      <c r="BE41" s="141"/>
      <c r="BF41" s="140"/>
      <c r="BH41" s="145"/>
      <c r="BI41" s="144"/>
      <c r="BJ41" s="144"/>
      <c r="BK41" s="144"/>
      <c r="BL41" s="144"/>
      <c r="BM41" s="143"/>
      <c r="BN41" s="141"/>
      <c r="BO41" s="140">
        <f>SUM(BO25:BO40)</f>
        <v>0</v>
      </c>
      <c r="BP41" s="142"/>
      <c r="BQ41" s="142"/>
      <c r="BR41" s="142"/>
      <c r="BS41" s="142"/>
      <c r="BT41" s="142"/>
      <c r="BU41" s="142"/>
      <c r="BV41" s="141"/>
      <c r="BW41" s="140" t="e">
        <f>SUM(BW25:BW40)</f>
        <v>#REF!</v>
      </c>
      <c r="BY41" s="145"/>
      <c r="BZ41" s="144"/>
      <c r="CA41" s="144"/>
      <c r="CB41" s="144"/>
      <c r="CC41" s="144"/>
      <c r="CD41" s="143"/>
      <c r="CE41" s="141"/>
      <c r="CF41" s="140">
        <f>SUM(CF25:CF40)</f>
        <v>0</v>
      </c>
      <c r="CG41" s="142"/>
      <c r="CH41" s="142"/>
      <c r="CI41" s="142"/>
      <c r="CJ41" s="142"/>
      <c r="CK41" s="142"/>
      <c r="CL41" s="142"/>
      <c r="CM41" s="141"/>
      <c r="CN41" s="140" t="e">
        <f>SUM(CN25:CN40)</f>
        <v>#REF!</v>
      </c>
      <c r="CP41" s="6"/>
      <c r="CQ41" s="139">
        <f>SUM(CQ25:CQ40)</f>
        <v>0</v>
      </c>
      <c r="CR41" s="6"/>
      <c r="CS41" s="139" t="e">
        <f>SUM(CS25:CS40)</f>
        <v>#REF!</v>
      </c>
      <c r="CU41" s="139"/>
      <c r="CW41" s="270"/>
      <c r="CX41" s="270"/>
    </row>
    <row r="42" spans="1:102" ht="15" customHeight="1" x14ac:dyDescent="0.25">
      <c r="A42" s="417" t="s">
        <v>500</v>
      </c>
      <c r="B42" s="423" t="s">
        <v>499</v>
      </c>
      <c r="C42" s="429" t="s">
        <v>498</v>
      </c>
      <c r="D42" s="430" t="s">
        <v>497</v>
      </c>
      <c r="E42" s="429" t="s">
        <v>243</v>
      </c>
      <c r="F42" s="389">
        <f>((105*(1.014*1.012*1.015)*1.1/1.21)*1.028)*(1.058)</f>
        <v>108.133411814064</v>
      </c>
      <c r="G42" s="262">
        <f>F42*$G$1</f>
        <v>0</v>
      </c>
      <c r="I42" s="182"/>
      <c r="J42" s="181"/>
      <c r="K42" s="181"/>
      <c r="L42" s="181"/>
      <c r="M42" s="180"/>
      <c r="N42" s="428">
        <f>SUM(I42:M42)</f>
        <v>0</v>
      </c>
      <c r="O42" s="205">
        <v>1</v>
      </c>
      <c r="P42" s="419"/>
      <c r="Q42" s="275"/>
      <c r="R42" s="274"/>
      <c r="S42" s="274"/>
      <c r="T42" s="274"/>
      <c r="U42" s="274"/>
      <c r="V42" s="274"/>
      <c r="W42" s="273"/>
      <c r="X42" s="412">
        <f>P42*W$42</f>
        <v>0</v>
      </c>
      <c r="Z42" s="182"/>
      <c r="AA42" s="181"/>
      <c r="AB42" s="181"/>
      <c r="AC42" s="181"/>
      <c r="AD42" s="180"/>
      <c r="AE42" s="428">
        <f>SUM(Z42:AD42)</f>
        <v>0</v>
      </c>
      <c r="AF42" s="205">
        <v>1</v>
      </c>
      <c r="AG42" s="419"/>
      <c r="AH42" s="275"/>
      <c r="AI42" s="274"/>
      <c r="AJ42" s="274"/>
      <c r="AK42" s="274"/>
      <c r="AL42" s="274"/>
      <c r="AM42" s="274"/>
      <c r="AN42" s="273"/>
      <c r="AO42" s="412">
        <f>AG42*AN$42</f>
        <v>0</v>
      </c>
      <c r="AQ42" s="182"/>
      <c r="AR42" s="301"/>
      <c r="AS42" s="181"/>
      <c r="AT42" s="181"/>
      <c r="AU42" s="282"/>
      <c r="AV42" s="427">
        <f>SUM(AQ42:AU42)</f>
        <v>0</v>
      </c>
      <c r="AW42" s="205">
        <v>1</v>
      </c>
      <c r="AX42" s="419"/>
      <c r="AY42" s="275"/>
      <c r="AZ42" s="274"/>
      <c r="BA42" s="274"/>
      <c r="BB42" s="274"/>
      <c r="BC42" s="274"/>
      <c r="BD42" s="274"/>
      <c r="BE42" s="273"/>
      <c r="BF42" s="412"/>
      <c r="BH42" s="179"/>
      <c r="BI42" s="178"/>
      <c r="BJ42" s="178"/>
      <c r="BK42" s="178"/>
      <c r="BL42" s="177"/>
      <c r="BM42" s="426">
        <f>SUM(BH42:BL42)</f>
        <v>0</v>
      </c>
      <c r="BN42" s="205">
        <v>1</v>
      </c>
      <c r="BO42" s="419">
        <f>$G42*BM42*BN42</f>
        <v>0</v>
      </c>
      <c r="BP42" s="275" t="e">
        <f>VLOOKUP(BP5,#REF!,4,FALSE)/100+1</f>
        <v>#REF!</v>
      </c>
      <c r="BQ42" s="274" t="e">
        <f>VLOOKUP(BQ5,#REF!,4,FALSE)/100+1</f>
        <v>#REF!</v>
      </c>
      <c r="BR42" s="274" t="e">
        <f>VLOOKUP(BR5,#REF!,4,FALSE)/100+1</f>
        <v>#REF!</v>
      </c>
      <c r="BS42" s="274" t="e">
        <f>VLOOKUP(BS5,#REF!,4,FALSE)/100+1</f>
        <v>#REF!</v>
      </c>
      <c r="BT42" s="274" t="e">
        <f>VLOOKUP(BT5,#REF!,4,FALSE)/100+1</f>
        <v>#REF!</v>
      </c>
      <c r="BU42" s="274" t="e">
        <f>VLOOKUP(BU5,#REF!,4,FALSE)/100+1</f>
        <v>#REF!</v>
      </c>
      <c r="BV42" s="273" t="e">
        <f>BP42*BQ42*BR42*BS42*BT42*BU42</f>
        <v>#REF!</v>
      </c>
      <c r="BW42" s="412" t="e">
        <f>BO42*BV$42</f>
        <v>#REF!</v>
      </c>
      <c r="BY42" s="179"/>
      <c r="BZ42" s="178"/>
      <c r="CA42" s="178"/>
      <c r="CB42" s="178"/>
      <c r="CC42" s="177"/>
      <c r="CD42" s="426">
        <f>SUM(BY42:CC42)</f>
        <v>0</v>
      </c>
      <c r="CE42" s="205">
        <v>1</v>
      </c>
      <c r="CF42" s="419">
        <f>$G42*CD42*CE42</f>
        <v>0</v>
      </c>
      <c r="CG42" s="275" t="e">
        <f>VLOOKUP(CG5,#REF!,4,FALSE)/100+1</f>
        <v>#REF!</v>
      </c>
      <c r="CH42" s="274" t="e">
        <f>VLOOKUP(CH5,#REF!,4,FALSE)/100+1</f>
        <v>#REF!</v>
      </c>
      <c r="CI42" s="274" t="e">
        <f>VLOOKUP(CI5,#REF!,4,FALSE)/100+1</f>
        <v>#REF!</v>
      </c>
      <c r="CJ42" s="274" t="e">
        <f>VLOOKUP(CJ5,#REF!,4,FALSE)/100+1</f>
        <v>#REF!</v>
      </c>
      <c r="CK42" s="274" t="e">
        <f>VLOOKUP(CK5,#REF!,4,FALSE)/100+1</f>
        <v>#REF!</v>
      </c>
      <c r="CL42" s="274" t="e">
        <f>VLOOKUP(CL5,#REF!,4,FALSE)/100+1</f>
        <v>#REF!</v>
      </c>
      <c r="CM42" s="273" t="e">
        <f>CG42*CH42*CI42*CJ42*CK42*CL42</f>
        <v>#REF!</v>
      </c>
      <c r="CN42" s="412" t="e">
        <f>CF42*CM$42</f>
        <v>#REF!</v>
      </c>
      <c r="CP42" s="198"/>
      <c r="CQ42" s="411">
        <f>SUMIF(I$1:CO$1,1,I42:CO42)</f>
        <v>0</v>
      </c>
      <c r="CR42" s="6"/>
      <c r="CS42" s="411" t="e">
        <f>SUMIF(I$1:CO$1,2,I42:CO42)</f>
        <v>#REF!</v>
      </c>
      <c r="CU42" s="411">
        <f>SUMIF(I$1:CO$1,3,I42:CO42)</f>
        <v>0</v>
      </c>
      <c r="CW42" s="270"/>
      <c r="CX42" s="270"/>
    </row>
    <row r="43" spans="1:102" ht="15" customHeight="1" x14ac:dyDescent="0.25">
      <c r="A43" s="406"/>
      <c r="B43" s="423"/>
      <c r="C43" s="79" t="s">
        <v>496</v>
      </c>
      <c r="D43" s="410" t="s">
        <v>495</v>
      </c>
      <c r="E43" s="79" t="s">
        <v>243</v>
      </c>
      <c r="F43" s="263">
        <f>((95*(1.014*1.012*1.015)*1.1/1.21)*1.028)*(1.058)</f>
        <v>97.834991641296</v>
      </c>
      <c r="G43" s="262">
        <f>F43*$G$1</f>
        <v>0</v>
      </c>
      <c r="I43" s="172"/>
      <c r="J43" s="171"/>
      <c r="K43" s="171"/>
      <c r="L43" s="171"/>
      <c r="M43" s="170"/>
      <c r="N43" s="403">
        <f>SUM(I43:M43)</f>
        <v>0</v>
      </c>
      <c r="O43" s="183">
        <v>1</v>
      </c>
      <c r="P43" s="399">
        <f>$G43*N43*O43</f>
        <v>0</v>
      </c>
      <c r="Q43" s="249"/>
      <c r="R43" s="248"/>
      <c r="S43" s="248"/>
      <c r="T43" s="248"/>
      <c r="U43" s="248"/>
      <c r="V43" s="248"/>
      <c r="W43" s="247"/>
      <c r="X43" s="399">
        <f>P43*W$42</f>
        <v>0</v>
      </c>
      <c r="Z43" s="172"/>
      <c r="AA43" s="171"/>
      <c r="AB43" s="171"/>
      <c r="AC43" s="171"/>
      <c r="AD43" s="170"/>
      <c r="AE43" s="403">
        <f>SUM(Z43:AD43)</f>
        <v>0</v>
      </c>
      <c r="AF43" s="183">
        <v>1</v>
      </c>
      <c r="AG43" s="399"/>
      <c r="AH43" s="249"/>
      <c r="AI43" s="248"/>
      <c r="AJ43" s="248"/>
      <c r="AK43" s="248"/>
      <c r="AL43" s="248"/>
      <c r="AM43" s="248"/>
      <c r="AN43" s="247"/>
      <c r="AO43" s="399">
        <f>AG43*AN$42</f>
        <v>0</v>
      </c>
      <c r="AQ43" s="172"/>
      <c r="AR43" s="294"/>
      <c r="AS43" s="171"/>
      <c r="AT43" s="171"/>
      <c r="AU43" s="242"/>
      <c r="AV43" s="402">
        <f>SUM(AQ43:AU43)</f>
        <v>0</v>
      </c>
      <c r="AW43" s="183">
        <v>1</v>
      </c>
      <c r="AX43" s="399"/>
      <c r="AY43" s="249"/>
      <c r="AZ43" s="248"/>
      <c r="BA43" s="248"/>
      <c r="BB43" s="248"/>
      <c r="BC43" s="248"/>
      <c r="BD43" s="248"/>
      <c r="BE43" s="247"/>
      <c r="BF43" s="399"/>
      <c r="BH43" s="167"/>
      <c r="BI43" s="166"/>
      <c r="BJ43" s="166"/>
      <c r="BK43" s="166"/>
      <c r="BL43" s="165"/>
      <c r="BM43" s="401">
        <f>SUM(BH43:BL43)</f>
        <v>0</v>
      </c>
      <c r="BN43" s="183">
        <v>1</v>
      </c>
      <c r="BO43" s="399">
        <f>$G43*BM43*BN43</f>
        <v>0</v>
      </c>
      <c r="BP43" s="249"/>
      <c r="BQ43" s="248"/>
      <c r="BR43" s="248"/>
      <c r="BS43" s="248"/>
      <c r="BT43" s="248"/>
      <c r="BU43" s="248"/>
      <c r="BV43" s="247"/>
      <c r="BW43" s="399" t="e">
        <f>BO43*BV$42</f>
        <v>#REF!</v>
      </c>
      <c r="BY43" s="167"/>
      <c r="BZ43" s="166"/>
      <c r="CA43" s="166"/>
      <c r="CB43" s="166"/>
      <c r="CC43" s="165"/>
      <c r="CD43" s="401">
        <f>SUM(BY43:CC43)</f>
        <v>0</v>
      </c>
      <c r="CE43" s="183">
        <v>1</v>
      </c>
      <c r="CF43" s="399">
        <f>$G43*CD43*CE43</f>
        <v>0</v>
      </c>
      <c r="CG43" s="249"/>
      <c r="CH43" s="248"/>
      <c r="CI43" s="248"/>
      <c r="CJ43" s="248"/>
      <c r="CK43" s="248"/>
      <c r="CL43" s="248"/>
      <c r="CM43" s="247"/>
      <c r="CN43" s="399" t="e">
        <f>CF43*CM$42</f>
        <v>#REF!</v>
      </c>
      <c r="CP43" s="198"/>
      <c r="CQ43" s="398">
        <f>SUMIF(I$1:CO$1,1,I43:CO43)</f>
        <v>0</v>
      </c>
      <c r="CR43" s="6"/>
      <c r="CS43" s="398" t="e">
        <f>SUMIF(I$1:CO$1,2,I43:CO43)</f>
        <v>#REF!</v>
      </c>
      <c r="CU43" s="398">
        <f>SUMIF(I$1:CO$1,3,I43:CO43)</f>
        <v>0</v>
      </c>
      <c r="CW43" s="270"/>
      <c r="CX43" s="270"/>
    </row>
    <row r="44" spans="1:102" ht="15" customHeight="1" x14ac:dyDescent="0.25">
      <c r="A44" s="406"/>
      <c r="B44" s="423"/>
      <c r="C44" s="79" t="s">
        <v>68</v>
      </c>
      <c r="D44" s="324" t="s">
        <v>494</v>
      </c>
      <c r="E44" s="174" t="s">
        <v>106</v>
      </c>
      <c r="F44" s="292"/>
      <c r="G44" s="292">
        <f>F44</f>
        <v>0</v>
      </c>
      <c r="I44" s="172"/>
      <c r="J44" s="171"/>
      <c r="K44" s="171"/>
      <c r="L44" s="171"/>
      <c r="M44" s="425"/>
      <c r="N44" s="403">
        <f>SUM(I44:M44)</f>
        <v>0</v>
      </c>
      <c r="O44" s="424">
        <v>1</v>
      </c>
      <c r="P44" s="399">
        <f>SUM(I44:M44)</f>
        <v>0</v>
      </c>
      <c r="Q44" s="249"/>
      <c r="R44" s="248"/>
      <c r="S44" s="248"/>
      <c r="T44" s="248"/>
      <c r="U44" s="248"/>
      <c r="V44" s="248"/>
      <c r="W44" s="247"/>
      <c r="X44" s="399">
        <f>P44*W$42</f>
        <v>0</v>
      </c>
      <c r="Z44" s="291"/>
      <c r="AA44" s="171"/>
      <c r="AB44" s="171"/>
      <c r="AC44" s="171"/>
      <c r="AD44" s="170"/>
      <c r="AE44" s="403"/>
      <c r="AF44" s="424">
        <v>1</v>
      </c>
      <c r="AG44" s="399"/>
      <c r="AH44" s="249"/>
      <c r="AI44" s="248"/>
      <c r="AJ44" s="248"/>
      <c r="AK44" s="248"/>
      <c r="AL44" s="248"/>
      <c r="AM44" s="248"/>
      <c r="AN44" s="247"/>
      <c r="AO44" s="399">
        <f>AG44*AN$42</f>
        <v>0</v>
      </c>
      <c r="AQ44" s="172"/>
      <c r="AR44" s="294"/>
      <c r="AS44" s="171"/>
      <c r="AT44" s="171"/>
      <c r="AU44" s="242"/>
      <c r="AV44" s="402"/>
      <c r="AW44" s="424">
        <v>1</v>
      </c>
      <c r="AX44" s="399"/>
      <c r="AY44" s="249"/>
      <c r="AZ44" s="248"/>
      <c r="BA44" s="248"/>
      <c r="BB44" s="248"/>
      <c r="BC44" s="248"/>
      <c r="BD44" s="248"/>
      <c r="BE44" s="247"/>
      <c r="BF44" s="399"/>
      <c r="BH44" s="167"/>
      <c r="BI44" s="166"/>
      <c r="BJ44" s="166"/>
      <c r="BK44" s="166"/>
      <c r="BL44" s="165"/>
      <c r="BM44" s="401"/>
      <c r="BN44" s="424">
        <v>1</v>
      </c>
      <c r="BO44" s="399">
        <f>SUM(BH44:BL44)</f>
        <v>0</v>
      </c>
      <c r="BP44" s="249"/>
      <c r="BQ44" s="248"/>
      <c r="BR44" s="248"/>
      <c r="BS44" s="248"/>
      <c r="BT44" s="248"/>
      <c r="BU44" s="248"/>
      <c r="BV44" s="247"/>
      <c r="BW44" s="399" t="e">
        <f>BO44*BV$42</f>
        <v>#REF!</v>
      </c>
      <c r="BY44" s="167"/>
      <c r="BZ44" s="166"/>
      <c r="CA44" s="166"/>
      <c r="CB44" s="166"/>
      <c r="CC44" s="165"/>
      <c r="CD44" s="401"/>
      <c r="CE44" s="424">
        <v>1</v>
      </c>
      <c r="CF44" s="399">
        <f>SUM(BY44:CC44)</f>
        <v>0</v>
      </c>
      <c r="CG44" s="249"/>
      <c r="CH44" s="248"/>
      <c r="CI44" s="248"/>
      <c r="CJ44" s="248"/>
      <c r="CK44" s="248"/>
      <c r="CL44" s="248"/>
      <c r="CM44" s="247"/>
      <c r="CN44" s="399" t="e">
        <f>CF44*CM$42</f>
        <v>#REF!</v>
      </c>
      <c r="CP44" s="198"/>
      <c r="CQ44" s="398">
        <f>SUMIF(I$1:CO$1,1,I44:CO44)</f>
        <v>0</v>
      </c>
      <c r="CR44" s="6"/>
      <c r="CS44" s="398" t="e">
        <f>SUMIF(I$1:CO$1,2,I44:CO44)</f>
        <v>#REF!</v>
      </c>
      <c r="CU44" s="398">
        <f>SUMIF(I$1:CO$1,3,I44:CO44)</f>
        <v>0</v>
      </c>
      <c r="CW44" s="270"/>
      <c r="CX44" s="270"/>
    </row>
    <row r="45" spans="1:102" ht="15" customHeight="1" x14ac:dyDescent="0.25">
      <c r="A45" s="406"/>
      <c r="B45" s="423"/>
      <c r="C45" s="79" t="s">
        <v>493</v>
      </c>
      <c r="D45" s="410" t="s">
        <v>492</v>
      </c>
      <c r="E45" s="79" t="s">
        <v>243</v>
      </c>
      <c r="F45" s="263">
        <f>((36.5*(1.014*1.012*1.015)*1.1/1.21)*1.028)*(1.058)</f>
        <v>37.589233630603204</v>
      </c>
      <c r="G45" s="262">
        <f>F45*$G$1</f>
        <v>0</v>
      </c>
      <c r="I45" s="172"/>
      <c r="J45" s="171"/>
      <c r="K45" s="171"/>
      <c r="L45" s="171"/>
      <c r="M45" s="170"/>
      <c r="N45" s="403">
        <f>SUM(I45:M45)</f>
        <v>0</v>
      </c>
      <c r="O45" s="183">
        <v>1</v>
      </c>
      <c r="P45" s="399"/>
      <c r="Q45" s="249"/>
      <c r="R45" s="248"/>
      <c r="S45" s="248"/>
      <c r="T45" s="248"/>
      <c r="U45" s="248"/>
      <c r="V45" s="248"/>
      <c r="W45" s="247"/>
      <c r="X45" s="399">
        <f>P45*W$42</f>
        <v>0</v>
      </c>
      <c r="Z45" s="172"/>
      <c r="AA45" s="171"/>
      <c r="AB45" s="171"/>
      <c r="AC45" s="171"/>
      <c r="AD45" s="170"/>
      <c r="AE45" s="403">
        <f>SUM(Z45:AD45)</f>
        <v>0</v>
      </c>
      <c r="AF45" s="183">
        <v>1</v>
      </c>
      <c r="AG45" s="399"/>
      <c r="AH45" s="249"/>
      <c r="AI45" s="248"/>
      <c r="AJ45" s="248"/>
      <c r="AK45" s="248"/>
      <c r="AL45" s="248"/>
      <c r="AM45" s="248"/>
      <c r="AN45" s="247"/>
      <c r="AO45" s="399">
        <f>AG45*AN$42</f>
        <v>0</v>
      </c>
      <c r="AQ45" s="172"/>
      <c r="AR45" s="294"/>
      <c r="AS45" s="171"/>
      <c r="AT45" s="171"/>
      <c r="AU45" s="242"/>
      <c r="AV45" s="402">
        <f>SUM(AQ45:AU45)</f>
        <v>0</v>
      </c>
      <c r="AW45" s="183">
        <v>1</v>
      </c>
      <c r="AX45" s="399"/>
      <c r="AY45" s="249"/>
      <c r="AZ45" s="248"/>
      <c r="BA45" s="248"/>
      <c r="BB45" s="248"/>
      <c r="BC45" s="248"/>
      <c r="BD45" s="248"/>
      <c r="BE45" s="247"/>
      <c r="BF45" s="399"/>
      <c r="BH45" s="167"/>
      <c r="BI45" s="166"/>
      <c r="BJ45" s="166"/>
      <c r="BK45" s="166"/>
      <c r="BL45" s="165"/>
      <c r="BM45" s="401">
        <f>SUM(BH45:BL45)</f>
        <v>0</v>
      </c>
      <c r="BN45" s="183">
        <v>1</v>
      </c>
      <c r="BO45" s="399">
        <f>$G45*BM45*BN45</f>
        <v>0</v>
      </c>
      <c r="BP45" s="249"/>
      <c r="BQ45" s="248"/>
      <c r="BR45" s="248"/>
      <c r="BS45" s="248"/>
      <c r="BT45" s="248"/>
      <c r="BU45" s="248"/>
      <c r="BV45" s="247"/>
      <c r="BW45" s="399" t="e">
        <f>BO45*BV$42</f>
        <v>#REF!</v>
      </c>
      <c r="BY45" s="167"/>
      <c r="BZ45" s="166"/>
      <c r="CA45" s="166"/>
      <c r="CB45" s="166"/>
      <c r="CC45" s="165"/>
      <c r="CD45" s="401">
        <f>SUM(BY45:CC45)</f>
        <v>0</v>
      </c>
      <c r="CE45" s="183">
        <v>1</v>
      </c>
      <c r="CF45" s="399">
        <f>$G45*CD45*CE45</f>
        <v>0</v>
      </c>
      <c r="CG45" s="249"/>
      <c r="CH45" s="248"/>
      <c r="CI45" s="248"/>
      <c r="CJ45" s="248"/>
      <c r="CK45" s="248"/>
      <c r="CL45" s="248"/>
      <c r="CM45" s="247"/>
      <c r="CN45" s="399" t="e">
        <f>CF45*CM$42</f>
        <v>#REF!</v>
      </c>
      <c r="CP45" s="198"/>
      <c r="CQ45" s="398">
        <f>SUMIF(I$1:CO$1,1,I45:CO45)</f>
        <v>0</v>
      </c>
      <c r="CR45" s="6"/>
      <c r="CS45" s="398" t="e">
        <f>SUMIF(I$1:CO$1,2,I45:CO45)</f>
        <v>#REF!</v>
      </c>
      <c r="CU45" s="398">
        <f>SUMIF(I$1:CO$1,3,I45:CO45)</f>
        <v>0</v>
      </c>
      <c r="CW45" s="270"/>
      <c r="CX45" s="270"/>
    </row>
    <row r="46" spans="1:102" ht="15" customHeight="1" x14ac:dyDescent="0.25">
      <c r="A46" s="406"/>
      <c r="B46" s="422"/>
      <c r="C46" s="79" t="s">
        <v>67</v>
      </c>
      <c r="D46" s="421" t="s">
        <v>491</v>
      </c>
      <c r="E46" s="323" t="s">
        <v>106</v>
      </c>
      <c r="F46" s="292"/>
      <c r="G46" s="292">
        <f>F46</f>
        <v>0</v>
      </c>
      <c r="I46" s="172"/>
      <c r="J46" s="171"/>
      <c r="K46" s="171"/>
      <c r="L46" s="171"/>
      <c r="M46" s="170"/>
      <c r="N46" s="403"/>
      <c r="O46" s="400"/>
      <c r="P46" s="399"/>
      <c r="Q46" s="249"/>
      <c r="R46" s="248"/>
      <c r="S46" s="248"/>
      <c r="T46" s="248"/>
      <c r="U46" s="248"/>
      <c r="V46" s="248"/>
      <c r="W46" s="247"/>
      <c r="X46" s="399">
        <f>P46*W$42</f>
        <v>0</v>
      </c>
      <c r="Z46" s="172"/>
      <c r="AA46" s="171"/>
      <c r="AB46" s="171"/>
      <c r="AC46" s="171"/>
      <c r="AD46" s="170"/>
      <c r="AE46" s="403"/>
      <c r="AF46" s="400"/>
      <c r="AG46" s="399"/>
      <c r="AH46" s="249"/>
      <c r="AI46" s="248"/>
      <c r="AJ46" s="248"/>
      <c r="AK46" s="248"/>
      <c r="AL46" s="248"/>
      <c r="AM46" s="248"/>
      <c r="AN46" s="247"/>
      <c r="AO46" s="399">
        <f>AG46*AN$42</f>
        <v>0</v>
      </c>
      <c r="AQ46" s="172"/>
      <c r="AR46" s="294"/>
      <c r="AS46" s="171"/>
      <c r="AT46" s="171"/>
      <c r="AU46" s="242"/>
      <c r="AV46" s="402"/>
      <c r="AW46" s="400"/>
      <c r="AX46" s="399"/>
      <c r="AY46" s="249"/>
      <c r="AZ46" s="248"/>
      <c r="BA46" s="248"/>
      <c r="BB46" s="248"/>
      <c r="BC46" s="248"/>
      <c r="BD46" s="248"/>
      <c r="BE46" s="247"/>
      <c r="BF46" s="399"/>
      <c r="BH46" s="167"/>
      <c r="BI46" s="166"/>
      <c r="BJ46" s="166"/>
      <c r="BK46" s="166"/>
      <c r="BL46" s="165"/>
      <c r="BM46" s="401"/>
      <c r="BN46" s="400"/>
      <c r="BO46" s="399">
        <f>SUM(BH46:BL46)</f>
        <v>0</v>
      </c>
      <c r="BP46" s="249"/>
      <c r="BQ46" s="248"/>
      <c r="BR46" s="248"/>
      <c r="BS46" s="248"/>
      <c r="BT46" s="248"/>
      <c r="BU46" s="248"/>
      <c r="BV46" s="247"/>
      <c r="BW46" s="399" t="e">
        <f>BO46*BV$42</f>
        <v>#REF!</v>
      </c>
      <c r="BY46" s="167"/>
      <c r="BZ46" s="166"/>
      <c r="CA46" s="166"/>
      <c r="CB46" s="166"/>
      <c r="CC46" s="165"/>
      <c r="CD46" s="401"/>
      <c r="CE46" s="400"/>
      <c r="CF46" s="399">
        <f>SUM(BY46:CC46)</f>
        <v>0</v>
      </c>
      <c r="CG46" s="249"/>
      <c r="CH46" s="248"/>
      <c r="CI46" s="248"/>
      <c r="CJ46" s="248"/>
      <c r="CK46" s="248"/>
      <c r="CL46" s="248"/>
      <c r="CM46" s="247"/>
      <c r="CN46" s="399" t="e">
        <f>CF46*CM$42</f>
        <v>#REF!</v>
      </c>
      <c r="CP46" s="198"/>
      <c r="CQ46" s="398">
        <f>SUMIF(I$1:CO$1,1,I46:CO46)</f>
        <v>0</v>
      </c>
      <c r="CR46" s="6"/>
      <c r="CS46" s="398" t="e">
        <f>SUMIF(I$1:CO$1,2,I46:CO46)</f>
        <v>#REF!</v>
      </c>
      <c r="CU46" s="398">
        <f>SUMIF(I$1:CO$1,3,I46:CO46)</f>
        <v>0</v>
      </c>
      <c r="CW46" s="270"/>
      <c r="CX46" s="270"/>
    </row>
    <row r="47" spans="1:102" ht="15" customHeight="1" x14ac:dyDescent="0.25">
      <c r="A47" s="406"/>
      <c r="B47" s="420" t="s">
        <v>490</v>
      </c>
      <c r="C47" s="79" t="s">
        <v>489</v>
      </c>
      <c r="D47" s="410" t="s">
        <v>488</v>
      </c>
      <c r="E47" s="404" t="s">
        <v>243</v>
      </c>
      <c r="F47" s="263">
        <f>((45*(1.014*1.012*1.015)*1.1/1.21)*1.028)*(1.058)</f>
        <v>46.342890777455992</v>
      </c>
      <c r="G47" s="262">
        <f>F47*$G$1</f>
        <v>0</v>
      </c>
      <c r="I47" s="172"/>
      <c r="J47" s="171"/>
      <c r="K47" s="171"/>
      <c r="L47" s="171"/>
      <c r="M47" s="170"/>
      <c r="N47" s="403">
        <f>SUM(I47:M47)</f>
        <v>0</v>
      </c>
      <c r="O47" s="183">
        <v>1</v>
      </c>
      <c r="P47" s="399"/>
      <c r="Q47" s="249"/>
      <c r="R47" s="248"/>
      <c r="S47" s="248"/>
      <c r="T47" s="248"/>
      <c r="U47" s="248"/>
      <c r="V47" s="248"/>
      <c r="W47" s="247"/>
      <c r="X47" s="399">
        <f>P47*W$42</f>
        <v>0</v>
      </c>
      <c r="Z47" s="172"/>
      <c r="AA47" s="171"/>
      <c r="AB47" s="171"/>
      <c r="AC47" s="171"/>
      <c r="AD47" s="170"/>
      <c r="AE47" s="403">
        <f>SUM(Z47:AD47)</f>
        <v>0</v>
      </c>
      <c r="AF47" s="183">
        <v>1</v>
      </c>
      <c r="AG47" s="399"/>
      <c r="AH47" s="249"/>
      <c r="AI47" s="248"/>
      <c r="AJ47" s="248"/>
      <c r="AK47" s="248"/>
      <c r="AL47" s="248"/>
      <c r="AM47" s="248"/>
      <c r="AN47" s="247"/>
      <c r="AO47" s="399">
        <f>AG47*AN$42</f>
        <v>0</v>
      </c>
      <c r="AQ47" s="172"/>
      <c r="AR47" s="294"/>
      <c r="AS47" s="171"/>
      <c r="AT47" s="171"/>
      <c r="AU47" s="242"/>
      <c r="AV47" s="402">
        <f>SUM(AQ47:AU47)</f>
        <v>0</v>
      </c>
      <c r="AW47" s="183">
        <v>1</v>
      </c>
      <c r="AX47" s="399"/>
      <c r="AY47" s="249"/>
      <c r="AZ47" s="248"/>
      <c r="BA47" s="248"/>
      <c r="BB47" s="248"/>
      <c r="BC47" s="248"/>
      <c r="BD47" s="248"/>
      <c r="BE47" s="247"/>
      <c r="BF47" s="399"/>
      <c r="BH47" s="167"/>
      <c r="BI47" s="166"/>
      <c r="BJ47" s="166"/>
      <c r="BK47" s="166"/>
      <c r="BL47" s="165"/>
      <c r="BM47" s="401">
        <f>SUM(BH47:BL47)</f>
        <v>0</v>
      </c>
      <c r="BN47" s="183">
        <v>1</v>
      </c>
      <c r="BO47" s="399">
        <f>$G47*BM47*BN47</f>
        <v>0</v>
      </c>
      <c r="BP47" s="249"/>
      <c r="BQ47" s="248"/>
      <c r="BR47" s="248"/>
      <c r="BS47" s="248"/>
      <c r="BT47" s="248"/>
      <c r="BU47" s="248"/>
      <c r="BV47" s="247"/>
      <c r="BW47" s="399" t="e">
        <f>BO47*BV$42</f>
        <v>#REF!</v>
      </c>
      <c r="BY47" s="167"/>
      <c r="BZ47" s="166"/>
      <c r="CA47" s="166"/>
      <c r="CB47" s="166"/>
      <c r="CC47" s="165"/>
      <c r="CD47" s="401">
        <f>SUM(BY47:CC47)</f>
        <v>0</v>
      </c>
      <c r="CE47" s="183">
        <v>1</v>
      </c>
      <c r="CF47" s="399">
        <f>$G47*CD47*CE47</f>
        <v>0</v>
      </c>
      <c r="CG47" s="249"/>
      <c r="CH47" s="248"/>
      <c r="CI47" s="248"/>
      <c r="CJ47" s="248"/>
      <c r="CK47" s="248"/>
      <c r="CL47" s="248"/>
      <c r="CM47" s="247"/>
      <c r="CN47" s="399" t="e">
        <f>CF47*CM$42</f>
        <v>#REF!</v>
      </c>
      <c r="CP47" s="198"/>
      <c r="CQ47" s="398">
        <f>SUMIF(I$1:CO$1,1,I47:CO47)</f>
        <v>0</v>
      </c>
      <c r="CR47" s="6"/>
      <c r="CS47" s="398" t="e">
        <f>SUMIF(I$1:CO$1,2,I47:CO47)</f>
        <v>#REF!</v>
      </c>
      <c r="CU47" s="398">
        <f>SUMIF(I$1:CO$1,3,I47:CO47)</f>
        <v>0</v>
      </c>
      <c r="CW47" s="270"/>
      <c r="CX47" s="270"/>
    </row>
    <row r="48" spans="1:102" ht="15" customHeight="1" x14ac:dyDescent="0.25">
      <c r="A48" s="406"/>
      <c r="B48" s="81"/>
      <c r="C48" s="79" t="s">
        <v>487</v>
      </c>
      <c r="D48" s="410" t="s">
        <v>486</v>
      </c>
      <c r="E48" s="404" t="s">
        <v>243</v>
      </c>
      <c r="F48" s="263">
        <f>((85*(1.014*1.012*1.015)*1.1/1.21)*1.028)*(1.058)</f>
        <v>87.536571468527995</v>
      </c>
      <c r="G48" s="262">
        <f>F48*$G$1</f>
        <v>0</v>
      </c>
      <c r="I48" s="172"/>
      <c r="J48" s="171"/>
      <c r="K48" s="171"/>
      <c r="L48" s="171"/>
      <c r="M48" s="170"/>
      <c r="N48" s="403">
        <f>SUM(I48:M48)</f>
        <v>0</v>
      </c>
      <c r="O48" s="183">
        <v>1</v>
      </c>
      <c r="P48" s="399"/>
      <c r="Q48" s="249"/>
      <c r="R48" s="248"/>
      <c r="S48" s="248"/>
      <c r="T48" s="248"/>
      <c r="U48" s="248"/>
      <c r="V48" s="248"/>
      <c r="W48" s="247"/>
      <c r="X48" s="399">
        <f>P48*W$42</f>
        <v>0</v>
      </c>
      <c r="Z48" s="172"/>
      <c r="AA48" s="171"/>
      <c r="AB48" s="171"/>
      <c r="AC48" s="171"/>
      <c r="AD48" s="170"/>
      <c r="AE48" s="403">
        <f>SUM(Z48:AD48)</f>
        <v>0</v>
      </c>
      <c r="AF48" s="183">
        <v>1</v>
      </c>
      <c r="AG48" s="399"/>
      <c r="AH48" s="249"/>
      <c r="AI48" s="248"/>
      <c r="AJ48" s="248"/>
      <c r="AK48" s="248"/>
      <c r="AL48" s="248"/>
      <c r="AM48" s="248"/>
      <c r="AN48" s="247"/>
      <c r="AO48" s="399">
        <f>AG48*AN$42</f>
        <v>0</v>
      </c>
      <c r="AQ48" s="172"/>
      <c r="AR48" s="294"/>
      <c r="AS48" s="171"/>
      <c r="AT48" s="171"/>
      <c r="AU48" s="242"/>
      <c r="AV48" s="402">
        <f>SUM(AQ48:AU48)</f>
        <v>0</v>
      </c>
      <c r="AW48" s="183">
        <v>1</v>
      </c>
      <c r="AX48" s="399"/>
      <c r="AY48" s="249"/>
      <c r="AZ48" s="248"/>
      <c r="BA48" s="248"/>
      <c r="BB48" s="248"/>
      <c r="BC48" s="248"/>
      <c r="BD48" s="248"/>
      <c r="BE48" s="247"/>
      <c r="BF48" s="399"/>
      <c r="BH48" s="167"/>
      <c r="BI48" s="166"/>
      <c r="BJ48" s="166"/>
      <c r="BK48" s="166"/>
      <c r="BL48" s="165"/>
      <c r="BM48" s="401">
        <f>SUM(BH48:BL48)</f>
        <v>0</v>
      </c>
      <c r="BN48" s="183">
        <v>1</v>
      </c>
      <c r="BO48" s="399">
        <f>$G48*BM48*BN48</f>
        <v>0</v>
      </c>
      <c r="BP48" s="249"/>
      <c r="BQ48" s="248"/>
      <c r="BR48" s="248"/>
      <c r="BS48" s="248"/>
      <c r="BT48" s="248"/>
      <c r="BU48" s="248"/>
      <c r="BV48" s="247"/>
      <c r="BW48" s="399" t="e">
        <f>BO48*BV$42</f>
        <v>#REF!</v>
      </c>
      <c r="BY48" s="167"/>
      <c r="BZ48" s="166"/>
      <c r="CA48" s="166"/>
      <c r="CB48" s="166"/>
      <c r="CC48" s="165"/>
      <c r="CD48" s="401">
        <f>SUM(BY48:CC48)</f>
        <v>0</v>
      </c>
      <c r="CE48" s="183">
        <v>1</v>
      </c>
      <c r="CF48" s="399">
        <f>$G48*CD48*CE48</f>
        <v>0</v>
      </c>
      <c r="CG48" s="249"/>
      <c r="CH48" s="248"/>
      <c r="CI48" s="248"/>
      <c r="CJ48" s="248"/>
      <c r="CK48" s="248"/>
      <c r="CL48" s="248"/>
      <c r="CM48" s="247"/>
      <c r="CN48" s="399" t="e">
        <f>CF48*CM$42</f>
        <v>#REF!</v>
      </c>
      <c r="CP48" s="198"/>
      <c r="CQ48" s="398">
        <f>SUMIF(I$1:CO$1,1,I48:CO48)</f>
        <v>0</v>
      </c>
      <c r="CR48" s="6"/>
      <c r="CS48" s="398" t="e">
        <f>SUMIF(I$1:CO$1,2,I48:CO48)</f>
        <v>#REF!</v>
      </c>
      <c r="CU48" s="398">
        <f>SUMIF(I$1:CO$1,3,I48:CO48)</f>
        <v>0</v>
      </c>
      <c r="CW48" s="270"/>
      <c r="CX48" s="270"/>
    </row>
    <row r="49" spans="1:102" ht="15" customHeight="1" x14ac:dyDescent="0.25">
      <c r="A49" s="406"/>
      <c r="B49" s="81"/>
      <c r="C49" s="79" t="s">
        <v>485</v>
      </c>
      <c r="D49" s="410" t="s">
        <v>484</v>
      </c>
      <c r="E49" s="404" t="s">
        <v>243</v>
      </c>
      <c r="F49" s="263">
        <f>((18*(1.014*1.012*1.015)*1.1/1.21)*1.028)*(1.058)</f>
        <v>18.537156310982397</v>
      </c>
      <c r="G49" s="262">
        <f>F49*$G$1</f>
        <v>0</v>
      </c>
      <c r="I49" s="172"/>
      <c r="J49" s="171"/>
      <c r="K49" s="171"/>
      <c r="L49" s="171"/>
      <c r="M49" s="170"/>
      <c r="N49" s="403">
        <f>SUM(I49:M49)</f>
        <v>0</v>
      </c>
      <c r="O49" s="183">
        <v>1</v>
      </c>
      <c r="P49" s="399"/>
      <c r="Q49" s="249"/>
      <c r="R49" s="248"/>
      <c r="S49" s="248"/>
      <c r="T49" s="248"/>
      <c r="U49" s="248"/>
      <c r="V49" s="248"/>
      <c r="W49" s="247"/>
      <c r="X49" s="399">
        <f>P49*W$42</f>
        <v>0</v>
      </c>
      <c r="Z49" s="172"/>
      <c r="AA49" s="171"/>
      <c r="AB49" s="171"/>
      <c r="AC49" s="171"/>
      <c r="AD49" s="170"/>
      <c r="AE49" s="403">
        <f>SUM(Z49:AD49)</f>
        <v>0</v>
      </c>
      <c r="AF49" s="183">
        <v>1</v>
      </c>
      <c r="AG49" s="399"/>
      <c r="AH49" s="249"/>
      <c r="AI49" s="248"/>
      <c r="AJ49" s="248"/>
      <c r="AK49" s="248"/>
      <c r="AL49" s="248"/>
      <c r="AM49" s="248"/>
      <c r="AN49" s="247"/>
      <c r="AO49" s="399">
        <f>AG49*AN$42</f>
        <v>0</v>
      </c>
      <c r="AQ49" s="172"/>
      <c r="AR49" s="294"/>
      <c r="AS49" s="171"/>
      <c r="AT49" s="171"/>
      <c r="AU49" s="242"/>
      <c r="AV49" s="402">
        <f>SUM(AQ49:AU49)</f>
        <v>0</v>
      </c>
      <c r="AW49" s="183">
        <v>1</v>
      </c>
      <c r="AX49" s="399"/>
      <c r="AY49" s="249"/>
      <c r="AZ49" s="248"/>
      <c r="BA49" s="248"/>
      <c r="BB49" s="248"/>
      <c r="BC49" s="248"/>
      <c r="BD49" s="248"/>
      <c r="BE49" s="247"/>
      <c r="BF49" s="399"/>
      <c r="BH49" s="167"/>
      <c r="BI49" s="166"/>
      <c r="BJ49" s="166"/>
      <c r="BK49" s="166"/>
      <c r="BL49" s="165"/>
      <c r="BM49" s="401">
        <f>SUM(BH49:BL49)</f>
        <v>0</v>
      </c>
      <c r="BN49" s="183">
        <v>1</v>
      </c>
      <c r="BO49" s="399">
        <f>$G49*BM49*BN49</f>
        <v>0</v>
      </c>
      <c r="BP49" s="249"/>
      <c r="BQ49" s="248"/>
      <c r="BR49" s="248"/>
      <c r="BS49" s="248"/>
      <c r="BT49" s="248"/>
      <c r="BU49" s="248"/>
      <c r="BV49" s="247"/>
      <c r="BW49" s="399" t="e">
        <f>BO49*BV$42</f>
        <v>#REF!</v>
      </c>
      <c r="BY49" s="167"/>
      <c r="BZ49" s="166"/>
      <c r="CA49" s="166"/>
      <c r="CB49" s="166"/>
      <c r="CC49" s="165"/>
      <c r="CD49" s="401">
        <f>SUM(BY49:CC49)</f>
        <v>0</v>
      </c>
      <c r="CE49" s="183">
        <v>1</v>
      </c>
      <c r="CF49" s="399">
        <f>$G49*CD49*CE49</f>
        <v>0</v>
      </c>
      <c r="CG49" s="249"/>
      <c r="CH49" s="248"/>
      <c r="CI49" s="248"/>
      <c r="CJ49" s="248"/>
      <c r="CK49" s="248"/>
      <c r="CL49" s="248"/>
      <c r="CM49" s="247"/>
      <c r="CN49" s="399" t="e">
        <f>CF49*CM$42</f>
        <v>#REF!</v>
      </c>
      <c r="CP49" s="198"/>
      <c r="CQ49" s="398">
        <f>SUMIF(I$1:CO$1,1,I49:CO49)</f>
        <v>0</v>
      </c>
      <c r="CR49" s="6"/>
      <c r="CS49" s="398" t="e">
        <f>SUMIF(I$1:CO$1,2,I49:CO49)</f>
        <v>#REF!</v>
      </c>
      <c r="CU49" s="398">
        <f>SUMIF(I$1:CO$1,3,I49:CO49)</f>
        <v>0</v>
      </c>
      <c r="CW49" s="270"/>
      <c r="CX49" s="270"/>
    </row>
    <row r="50" spans="1:102" ht="15" customHeight="1" x14ac:dyDescent="0.25">
      <c r="A50" s="406"/>
      <c r="B50" s="81"/>
      <c r="C50" s="79" t="s">
        <v>483</v>
      </c>
      <c r="D50" s="410" t="s">
        <v>482</v>
      </c>
      <c r="E50" s="404" t="s">
        <v>243</v>
      </c>
      <c r="F50" s="263">
        <f>((22*(1.014*1.012*1.015)*1.1/1.21)*1.028)*(1.058)</f>
        <v>22.656524380089603</v>
      </c>
      <c r="G50" s="262">
        <f>F50*$G$1</f>
        <v>0</v>
      </c>
      <c r="I50" s="172"/>
      <c r="J50" s="171"/>
      <c r="K50" s="171"/>
      <c r="L50" s="171"/>
      <c r="M50" s="170"/>
      <c r="N50" s="403">
        <f>SUM(I50:M50)</f>
        <v>0</v>
      </c>
      <c r="O50" s="183">
        <v>1</v>
      </c>
      <c r="P50" s="399"/>
      <c r="Q50" s="249"/>
      <c r="R50" s="248"/>
      <c r="S50" s="248"/>
      <c r="T50" s="248"/>
      <c r="U50" s="248"/>
      <c r="V50" s="248"/>
      <c r="W50" s="247"/>
      <c r="X50" s="419">
        <f>P50*W$42</f>
        <v>0</v>
      </c>
      <c r="Z50" s="172"/>
      <c r="AA50" s="171"/>
      <c r="AB50" s="171"/>
      <c r="AC50" s="171"/>
      <c r="AD50" s="170"/>
      <c r="AE50" s="403">
        <f>SUM(Z50:AD50)</f>
        <v>0</v>
      </c>
      <c r="AF50" s="183">
        <v>1</v>
      </c>
      <c r="AG50" s="399"/>
      <c r="AH50" s="249"/>
      <c r="AI50" s="248"/>
      <c r="AJ50" s="248"/>
      <c r="AK50" s="248"/>
      <c r="AL50" s="248"/>
      <c r="AM50" s="248"/>
      <c r="AN50" s="247"/>
      <c r="AO50" s="419">
        <f>AG50*AN$42</f>
        <v>0</v>
      </c>
      <c r="AQ50" s="172"/>
      <c r="AR50" s="294"/>
      <c r="AS50" s="171"/>
      <c r="AT50" s="171"/>
      <c r="AU50" s="242"/>
      <c r="AV50" s="402">
        <f>SUM(AQ50:AU50)</f>
        <v>0</v>
      </c>
      <c r="AW50" s="183">
        <v>1</v>
      </c>
      <c r="AX50" s="399"/>
      <c r="AY50" s="249"/>
      <c r="AZ50" s="248"/>
      <c r="BA50" s="248"/>
      <c r="BB50" s="248"/>
      <c r="BC50" s="248"/>
      <c r="BD50" s="248"/>
      <c r="BE50" s="247"/>
      <c r="BF50" s="419"/>
      <c r="BH50" s="167"/>
      <c r="BI50" s="166"/>
      <c r="BJ50" s="166"/>
      <c r="BK50" s="166"/>
      <c r="BL50" s="165"/>
      <c r="BM50" s="401">
        <f>SUM(BH50:BL50)</f>
        <v>0</v>
      </c>
      <c r="BN50" s="183">
        <v>1</v>
      </c>
      <c r="BO50" s="399">
        <f>$G50*BM50*BN50</f>
        <v>0</v>
      </c>
      <c r="BP50" s="249"/>
      <c r="BQ50" s="248"/>
      <c r="BR50" s="248"/>
      <c r="BS50" s="248"/>
      <c r="BT50" s="248"/>
      <c r="BU50" s="248"/>
      <c r="BV50" s="247"/>
      <c r="BW50" s="419" t="e">
        <f>BO50*BV$42</f>
        <v>#REF!</v>
      </c>
      <c r="BY50" s="167"/>
      <c r="BZ50" s="166"/>
      <c r="CA50" s="166"/>
      <c r="CB50" s="166"/>
      <c r="CC50" s="165"/>
      <c r="CD50" s="401">
        <f>SUM(BY50:CC50)</f>
        <v>0</v>
      </c>
      <c r="CE50" s="183">
        <v>1</v>
      </c>
      <c r="CF50" s="399">
        <f>$G50*CD50*CE50</f>
        <v>0</v>
      </c>
      <c r="CG50" s="249"/>
      <c r="CH50" s="248"/>
      <c r="CI50" s="248"/>
      <c r="CJ50" s="248"/>
      <c r="CK50" s="248"/>
      <c r="CL50" s="248"/>
      <c r="CM50" s="247"/>
      <c r="CN50" s="419" t="e">
        <f>CF50*CM$42</f>
        <v>#REF!</v>
      </c>
      <c r="CP50" s="198"/>
      <c r="CQ50" s="398">
        <f>SUMIF(I$1:CO$1,1,I50:CO50)</f>
        <v>0</v>
      </c>
      <c r="CR50" s="6"/>
      <c r="CS50" s="398" t="e">
        <f>SUMIF(I$1:CO$1,2,I50:CO50)</f>
        <v>#REF!</v>
      </c>
      <c r="CU50" s="398">
        <f>SUMIF(I$1:CO$1,3,I50:CO50)</f>
        <v>0</v>
      </c>
      <c r="CW50" s="270"/>
      <c r="CX50" s="270"/>
    </row>
    <row r="51" spans="1:102" ht="15" customHeight="1" x14ac:dyDescent="0.25">
      <c r="A51" s="406"/>
      <c r="B51" s="80"/>
      <c r="C51" s="79" t="s">
        <v>481</v>
      </c>
      <c r="D51" s="324" t="s">
        <v>480</v>
      </c>
      <c r="E51" s="174" t="s">
        <v>106</v>
      </c>
      <c r="F51" s="292"/>
      <c r="G51" s="292">
        <f>F51</f>
        <v>0</v>
      </c>
      <c r="I51" s="172"/>
      <c r="J51" s="171"/>
      <c r="K51" s="171"/>
      <c r="L51" s="171"/>
      <c r="M51" s="170"/>
      <c r="N51" s="403"/>
      <c r="O51" s="400"/>
      <c r="P51" s="399"/>
      <c r="Q51" s="249"/>
      <c r="R51" s="248"/>
      <c r="S51" s="248"/>
      <c r="T51" s="248"/>
      <c r="U51" s="248"/>
      <c r="V51" s="248"/>
      <c r="W51" s="247"/>
      <c r="X51" s="399">
        <f>P51*W$42</f>
        <v>0</v>
      </c>
      <c r="Z51" s="172"/>
      <c r="AA51" s="171"/>
      <c r="AB51" s="171"/>
      <c r="AC51" s="171"/>
      <c r="AD51" s="170"/>
      <c r="AE51" s="403"/>
      <c r="AF51" s="400"/>
      <c r="AG51" s="399"/>
      <c r="AH51" s="249"/>
      <c r="AI51" s="248"/>
      <c r="AJ51" s="248"/>
      <c r="AK51" s="248"/>
      <c r="AL51" s="248"/>
      <c r="AM51" s="248"/>
      <c r="AN51" s="247"/>
      <c r="AO51" s="399">
        <f>AG51*AN$42</f>
        <v>0</v>
      </c>
      <c r="AQ51" s="172"/>
      <c r="AR51" s="294"/>
      <c r="AS51" s="171"/>
      <c r="AT51" s="171"/>
      <c r="AU51" s="242"/>
      <c r="AV51" s="402"/>
      <c r="AW51" s="400"/>
      <c r="AX51" s="399"/>
      <c r="AY51" s="249"/>
      <c r="AZ51" s="248"/>
      <c r="BA51" s="248"/>
      <c r="BB51" s="248"/>
      <c r="BC51" s="248"/>
      <c r="BD51" s="248"/>
      <c r="BE51" s="247"/>
      <c r="BF51" s="399"/>
      <c r="BH51" s="167"/>
      <c r="BI51" s="166"/>
      <c r="BJ51" s="166"/>
      <c r="BK51" s="166"/>
      <c r="BL51" s="165"/>
      <c r="BM51" s="401"/>
      <c r="BN51" s="400"/>
      <c r="BO51" s="399">
        <f>SUM(BH51:BL51)</f>
        <v>0</v>
      </c>
      <c r="BP51" s="249"/>
      <c r="BQ51" s="248"/>
      <c r="BR51" s="248"/>
      <c r="BS51" s="248"/>
      <c r="BT51" s="248"/>
      <c r="BU51" s="248"/>
      <c r="BV51" s="247"/>
      <c r="BW51" s="399" t="e">
        <f>BO51*BV$42</f>
        <v>#REF!</v>
      </c>
      <c r="BY51" s="167"/>
      <c r="BZ51" s="166"/>
      <c r="CA51" s="166"/>
      <c r="CB51" s="166"/>
      <c r="CC51" s="165"/>
      <c r="CD51" s="401"/>
      <c r="CE51" s="400"/>
      <c r="CF51" s="399">
        <f>SUM(BY51:CC51)</f>
        <v>0</v>
      </c>
      <c r="CG51" s="249"/>
      <c r="CH51" s="248"/>
      <c r="CI51" s="248"/>
      <c r="CJ51" s="248"/>
      <c r="CK51" s="248"/>
      <c r="CL51" s="248"/>
      <c r="CM51" s="247"/>
      <c r="CN51" s="399" t="e">
        <f>CF51*CM$42</f>
        <v>#REF!</v>
      </c>
      <c r="CP51" s="198"/>
      <c r="CQ51" s="398">
        <f>SUMIF(I$1:CO$1,1,I51:CO51)</f>
        <v>0</v>
      </c>
      <c r="CR51" s="6"/>
      <c r="CS51" s="398" t="e">
        <f>SUMIF(I$1:CO$1,2,I51:CO51)</f>
        <v>#REF!</v>
      </c>
      <c r="CU51" s="398">
        <f>SUMIF(I$1:CO$1,3,I51:CO51)</f>
        <v>0</v>
      </c>
      <c r="CW51" s="270"/>
      <c r="CX51" s="270"/>
    </row>
    <row r="52" spans="1:102" ht="15" customHeight="1" x14ac:dyDescent="0.25">
      <c r="A52" s="406"/>
      <c r="B52" s="407" t="s">
        <v>178</v>
      </c>
      <c r="C52" s="79" t="s">
        <v>66</v>
      </c>
      <c r="D52" s="255" t="s">
        <v>175</v>
      </c>
      <c r="E52" s="254" t="s">
        <v>243</v>
      </c>
      <c r="F52" s="308">
        <v>2.25</v>
      </c>
      <c r="G52" s="308">
        <f>F52*$G$1</f>
        <v>0</v>
      </c>
      <c r="I52" s="172"/>
      <c r="J52" s="171"/>
      <c r="K52" s="171"/>
      <c r="L52" s="171"/>
      <c r="M52" s="170"/>
      <c r="N52" s="403">
        <f>SUM(I52:M52)</f>
        <v>0</v>
      </c>
      <c r="O52" s="183">
        <v>1</v>
      </c>
      <c r="P52" s="399"/>
      <c r="Q52" s="249"/>
      <c r="R52" s="248"/>
      <c r="S52" s="248"/>
      <c r="T52" s="248"/>
      <c r="U52" s="248"/>
      <c r="V52" s="248"/>
      <c r="W52" s="247"/>
      <c r="X52" s="399">
        <f>P52*W$42</f>
        <v>0</v>
      </c>
      <c r="Z52" s="172"/>
      <c r="AA52" s="171"/>
      <c r="AB52" s="171"/>
      <c r="AC52" s="171"/>
      <c r="AD52" s="170"/>
      <c r="AE52" s="403">
        <f>SUM(Z52:AD52)</f>
        <v>0</v>
      </c>
      <c r="AF52" s="183">
        <v>1</v>
      </c>
      <c r="AG52" s="399"/>
      <c r="AH52" s="249"/>
      <c r="AI52" s="248"/>
      <c r="AJ52" s="248"/>
      <c r="AK52" s="248"/>
      <c r="AL52" s="248"/>
      <c r="AM52" s="248"/>
      <c r="AN52" s="247"/>
      <c r="AO52" s="399">
        <f>AG52*AN$42</f>
        <v>0</v>
      </c>
      <c r="AQ52" s="172"/>
      <c r="AR52" s="294"/>
      <c r="AS52" s="171"/>
      <c r="AT52" s="171"/>
      <c r="AU52" s="242"/>
      <c r="AV52" s="402">
        <f>SUM(AQ52:AU52)</f>
        <v>0</v>
      </c>
      <c r="AW52" s="183">
        <v>1</v>
      </c>
      <c r="AX52" s="399"/>
      <c r="AY52" s="249"/>
      <c r="AZ52" s="248"/>
      <c r="BA52" s="248"/>
      <c r="BB52" s="248"/>
      <c r="BC52" s="248"/>
      <c r="BD52" s="248"/>
      <c r="BE52" s="247"/>
      <c r="BF52" s="399"/>
      <c r="BH52" s="167"/>
      <c r="BI52" s="166"/>
      <c r="BJ52" s="166"/>
      <c r="BK52" s="166"/>
      <c r="BL52" s="165"/>
      <c r="BM52" s="401">
        <f>SUM(BH52:BL52)</f>
        <v>0</v>
      </c>
      <c r="BN52" s="183">
        <v>1</v>
      </c>
      <c r="BO52" s="399">
        <f>$G52*BM52*BN52</f>
        <v>0</v>
      </c>
      <c r="BP52" s="249"/>
      <c r="BQ52" s="248"/>
      <c r="BR52" s="248"/>
      <c r="BS52" s="248"/>
      <c r="BT52" s="248"/>
      <c r="BU52" s="248"/>
      <c r="BV52" s="247"/>
      <c r="BW52" s="399" t="e">
        <f>BO52*BV$42</f>
        <v>#REF!</v>
      </c>
      <c r="BY52" s="167"/>
      <c r="BZ52" s="166"/>
      <c r="CA52" s="166"/>
      <c r="CB52" s="166"/>
      <c r="CC52" s="165"/>
      <c r="CD52" s="401">
        <f>SUM(BY52:CC52)</f>
        <v>0</v>
      </c>
      <c r="CE52" s="183">
        <v>1</v>
      </c>
      <c r="CF52" s="399">
        <f>$G52*CD52*CE52</f>
        <v>0</v>
      </c>
      <c r="CG52" s="249"/>
      <c r="CH52" s="248"/>
      <c r="CI52" s="248"/>
      <c r="CJ52" s="248"/>
      <c r="CK52" s="248"/>
      <c r="CL52" s="248"/>
      <c r="CM52" s="247"/>
      <c r="CN52" s="399" t="e">
        <f>CF52*CM$42</f>
        <v>#REF!</v>
      </c>
      <c r="CP52" s="198"/>
      <c r="CQ52" s="398">
        <f>SUMIF(I$1:CO$1,1,I52:CO52)</f>
        <v>0</v>
      </c>
      <c r="CR52" s="6"/>
      <c r="CS52" s="398" t="e">
        <f>SUMIF(I$1:CO$1,2,I52:CO52)</f>
        <v>#REF!</v>
      </c>
      <c r="CU52" s="398">
        <f>SUMIF(I$1:CO$1,3,I52:CO52)</f>
        <v>0</v>
      </c>
      <c r="CW52" s="270"/>
      <c r="CX52" s="270"/>
    </row>
    <row r="53" spans="1:102" ht="15" customHeight="1" x14ac:dyDescent="0.25">
      <c r="A53" s="406"/>
      <c r="B53" s="405"/>
      <c r="C53" s="79" t="s">
        <v>65</v>
      </c>
      <c r="D53" s="255" t="s">
        <v>175</v>
      </c>
      <c r="E53" s="254" t="s">
        <v>243</v>
      </c>
      <c r="F53" s="308">
        <v>1.35</v>
      </c>
      <c r="G53" s="308">
        <f>F53*$G$1</f>
        <v>0</v>
      </c>
      <c r="I53" s="172"/>
      <c r="J53" s="171"/>
      <c r="K53" s="171"/>
      <c r="L53" s="171"/>
      <c r="M53" s="170"/>
      <c r="N53" s="403">
        <f>SUM(I53:M53)</f>
        <v>0</v>
      </c>
      <c r="O53" s="183">
        <v>1</v>
      </c>
      <c r="P53" s="399"/>
      <c r="Q53" s="249"/>
      <c r="R53" s="248"/>
      <c r="S53" s="248"/>
      <c r="T53" s="248"/>
      <c r="U53" s="248"/>
      <c r="V53" s="248"/>
      <c r="W53" s="247"/>
      <c r="X53" s="399">
        <f>P53*W$42</f>
        <v>0</v>
      </c>
      <c r="Z53" s="172"/>
      <c r="AA53" s="171"/>
      <c r="AB53" s="171"/>
      <c r="AC53" s="171"/>
      <c r="AD53" s="170"/>
      <c r="AE53" s="403">
        <f>SUM(Z53:AD53)</f>
        <v>0</v>
      </c>
      <c r="AF53" s="183">
        <v>1</v>
      </c>
      <c r="AG53" s="399"/>
      <c r="AH53" s="249"/>
      <c r="AI53" s="248"/>
      <c r="AJ53" s="248"/>
      <c r="AK53" s="248"/>
      <c r="AL53" s="248"/>
      <c r="AM53" s="248"/>
      <c r="AN53" s="247"/>
      <c r="AO53" s="399">
        <f>AG53*AN$42</f>
        <v>0</v>
      </c>
      <c r="AQ53" s="172"/>
      <c r="AR53" s="294"/>
      <c r="AS53" s="171"/>
      <c r="AT53" s="171"/>
      <c r="AU53" s="242"/>
      <c r="AV53" s="402">
        <f>SUM(AQ53:AU53)</f>
        <v>0</v>
      </c>
      <c r="AW53" s="183">
        <v>1</v>
      </c>
      <c r="AX53" s="399"/>
      <c r="AY53" s="249"/>
      <c r="AZ53" s="248"/>
      <c r="BA53" s="248"/>
      <c r="BB53" s="248"/>
      <c r="BC53" s="248"/>
      <c r="BD53" s="248"/>
      <c r="BE53" s="247"/>
      <c r="BF53" s="399"/>
      <c r="BH53" s="167"/>
      <c r="BI53" s="166"/>
      <c r="BJ53" s="166"/>
      <c r="BK53" s="166"/>
      <c r="BL53" s="165"/>
      <c r="BM53" s="401">
        <f>SUM(BH53:BL53)</f>
        <v>0</v>
      </c>
      <c r="BN53" s="183">
        <v>1</v>
      </c>
      <c r="BO53" s="399">
        <f>$G53*BM53*BN53</f>
        <v>0</v>
      </c>
      <c r="BP53" s="249"/>
      <c r="BQ53" s="248"/>
      <c r="BR53" s="248"/>
      <c r="BS53" s="248"/>
      <c r="BT53" s="248"/>
      <c r="BU53" s="248"/>
      <c r="BV53" s="247"/>
      <c r="BW53" s="399" t="e">
        <f>BO53*BV$42</f>
        <v>#REF!</v>
      </c>
      <c r="BY53" s="167"/>
      <c r="BZ53" s="166"/>
      <c r="CA53" s="166"/>
      <c r="CB53" s="166"/>
      <c r="CC53" s="165"/>
      <c r="CD53" s="401">
        <f>SUM(BY53:CC53)</f>
        <v>0</v>
      </c>
      <c r="CE53" s="183">
        <v>1</v>
      </c>
      <c r="CF53" s="399">
        <f>$G53*CD53*CE53</f>
        <v>0</v>
      </c>
      <c r="CG53" s="249"/>
      <c r="CH53" s="248"/>
      <c r="CI53" s="248"/>
      <c r="CJ53" s="248"/>
      <c r="CK53" s="248"/>
      <c r="CL53" s="248"/>
      <c r="CM53" s="247"/>
      <c r="CN53" s="399" t="e">
        <f>CF53*CM$42</f>
        <v>#REF!</v>
      </c>
      <c r="CP53" s="198"/>
      <c r="CQ53" s="398">
        <f>SUMIF(I$1:CO$1,1,I53:CO53)</f>
        <v>0</v>
      </c>
      <c r="CR53" s="6"/>
      <c r="CS53" s="398" t="e">
        <f>SUMIF(I$1:CO$1,2,I53:CO53)</f>
        <v>#REF!</v>
      </c>
      <c r="CU53" s="398">
        <f>SUMIF(I$1:CO$1,3,I53:CO53)</f>
        <v>0</v>
      </c>
      <c r="CW53" s="270"/>
      <c r="CX53" s="270"/>
    </row>
    <row r="54" spans="1:102" ht="15" customHeight="1" x14ac:dyDescent="0.25">
      <c r="A54" s="406"/>
      <c r="B54" s="405"/>
      <c r="C54" s="79" t="s">
        <v>64</v>
      </c>
      <c r="D54" s="255" t="s">
        <v>479</v>
      </c>
      <c r="E54" s="254" t="s">
        <v>106</v>
      </c>
      <c r="F54" s="308"/>
      <c r="G54" s="308">
        <f>F54</f>
        <v>0</v>
      </c>
      <c r="I54" s="251"/>
      <c r="J54" s="250"/>
      <c r="K54" s="171">
        <v>5.6808910600000004</v>
      </c>
      <c r="L54" s="171">
        <v>16.610863080000001</v>
      </c>
      <c r="M54" s="170"/>
      <c r="N54" s="403">
        <f>SUM(I54:M54)</f>
        <v>22.291754140000002</v>
      </c>
      <c r="O54" s="183">
        <v>1</v>
      </c>
      <c r="P54" s="399"/>
      <c r="Q54" s="249"/>
      <c r="R54" s="248"/>
      <c r="S54" s="248"/>
      <c r="T54" s="248"/>
      <c r="U54" s="248"/>
      <c r="V54" s="248"/>
      <c r="W54" s="247"/>
      <c r="X54" s="399">
        <f>P54*W$42</f>
        <v>0</v>
      </c>
      <c r="Z54" s="172">
        <v>16.610863080000001</v>
      </c>
      <c r="AA54" s="171">
        <v>5.6808910600000004</v>
      </c>
      <c r="AB54" s="171">
        <v>16.610863080000001</v>
      </c>
      <c r="AC54" s="171">
        <f>5.68089106+5.68089106</f>
        <v>11.361782120000001</v>
      </c>
      <c r="AD54" s="170">
        <v>16.610863080000001</v>
      </c>
      <c r="AE54" s="403">
        <f>SUM(Z54:AD54)</f>
        <v>66.875262420000013</v>
      </c>
      <c r="AF54" s="183">
        <v>1</v>
      </c>
      <c r="AG54" s="399"/>
      <c r="AH54" s="249"/>
      <c r="AI54" s="248"/>
      <c r="AJ54" s="248"/>
      <c r="AK54" s="248"/>
      <c r="AL54" s="248"/>
      <c r="AM54" s="248"/>
      <c r="AN54" s="247"/>
      <c r="AO54" s="399">
        <f>AG54*AN$42</f>
        <v>0</v>
      </c>
      <c r="AQ54" s="172">
        <v>5.6808910600000004</v>
      </c>
      <c r="AR54" s="294"/>
      <c r="AS54" s="171"/>
      <c r="AT54" s="171"/>
      <c r="AU54" s="242"/>
      <c r="AV54" s="402">
        <f>SUM(AQ54:AU54)</f>
        <v>5.6808910600000004</v>
      </c>
      <c r="AW54" s="183">
        <v>1</v>
      </c>
      <c r="AX54" s="399"/>
      <c r="AY54" s="249"/>
      <c r="AZ54" s="248"/>
      <c r="BA54" s="248"/>
      <c r="BB54" s="248"/>
      <c r="BC54" s="248"/>
      <c r="BD54" s="248"/>
      <c r="BE54" s="247"/>
      <c r="BF54" s="399"/>
      <c r="BH54" s="167"/>
      <c r="BI54" s="166"/>
      <c r="BJ54" s="166"/>
      <c r="BK54" s="166"/>
      <c r="BL54" s="165"/>
      <c r="BM54" s="401">
        <f>SUM(BH54:BL54)</f>
        <v>0</v>
      </c>
      <c r="BN54" s="183">
        <v>1</v>
      </c>
      <c r="BO54" s="399">
        <f>$G54*BM54*BN54</f>
        <v>0</v>
      </c>
      <c r="BP54" s="249"/>
      <c r="BQ54" s="248"/>
      <c r="BR54" s="248"/>
      <c r="BS54" s="248"/>
      <c r="BT54" s="248"/>
      <c r="BU54" s="248"/>
      <c r="BV54" s="247"/>
      <c r="BW54" s="399" t="e">
        <f>BO54*BV$42</f>
        <v>#REF!</v>
      </c>
      <c r="BY54" s="167"/>
      <c r="BZ54" s="166"/>
      <c r="CA54" s="166"/>
      <c r="CB54" s="166"/>
      <c r="CC54" s="165"/>
      <c r="CD54" s="401">
        <f>SUM(BY54:CC54)</f>
        <v>0</v>
      </c>
      <c r="CE54" s="183">
        <v>1</v>
      </c>
      <c r="CF54" s="399">
        <f>$G54*CD54*CE54</f>
        <v>0</v>
      </c>
      <c r="CG54" s="249"/>
      <c r="CH54" s="248"/>
      <c r="CI54" s="248"/>
      <c r="CJ54" s="248"/>
      <c r="CK54" s="248"/>
      <c r="CL54" s="248"/>
      <c r="CM54" s="247"/>
      <c r="CN54" s="399" t="e">
        <f>CF54*CM$42</f>
        <v>#REF!</v>
      </c>
      <c r="CP54" s="198"/>
      <c r="CQ54" s="398">
        <f>SUMIF(I$1:CO$1,1,I54:CO54)</f>
        <v>0</v>
      </c>
      <c r="CR54" s="6"/>
      <c r="CS54" s="398" t="e">
        <f>SUMIF(I$1:CO$1,2,I54:CO54)</f>
        <v>#REF!</v>
      </c>
      <c r="CU54" s="418"/>
      <c r="CW54" s="270"/>
      <c r="CX54" s="270"/>
    </row>
    <row r="55" spans="1:102" ht="15" customHeight="1" x14ac:dyDescent="0.25">
      <c r="A55" s="406"/>
      <c r="B55" s="405"/>
      <c r="C55" s="79" t="s">
        <v>63</v>
      </c>
      <c r="D55" s="252" t="s">
        <v>173</v>
      </c>
      <c r="E55" s="174" t="s">
        <v>106</v>
      </c>
      <c r="F55" s="292"/>
      <c r="G55" s="292">
        <f>F55</f>
        <v>0</v>
      </c>
      <c r="I55" s="172"/>
      <c r="J55" s="171"/>
      <c r="K55" s="171"/>
      <c r="L55" s="171"/>
      <c r="M55" s="170"/>
      <c r="N55" s="403"/>
      <c r="O55" s="400"/>
      <c r="P55" s="399"/>
      <c r="Q55" s="249"/>
      <c r="R55" s="248"/>
      <c r="S55" s="248"/>
      <c r="T55" s="248"/>
      <c r="U55" s="248"/>
      <c r="V55" s="248"/>
      <c r="W55" s="247"/>
      <c r="X55" s="399">
        <f>P55*W$42</f>
        <v>0</v>
      </c>
      <c r="Z55" s="172"/>
      <c r="AA55" s="171"/>
      <c r="AB55" s="171"/>
      <c r="AC55" s="171"/>
      <c r="AD55" s="170"/>
      <c r="AE55" s="403"/>
      <c r="AF55" s="400"/>
      <c r="AG55" s="399"/>
      <c r="AH55" s="249"/>
      <c r="AI55" s="248"/>
      <c r="AJ55" s="248"/>
      <c r="AK55" s="248"/>
      <c r="AL55" s="248"/>
      <c r="AM55" s="248"/>
      <c r="AN55" s="247"/>
      <c r="AO55" s="399">
        <f>AG55*AN$42</f>
        <v>0</v>
      </c>
      <c r="AQ55" s="172"/>
      <c r="AR55" s="294"/>
      <c r="AS55" s="171"/>
      <c r="AT55" s="171"/>
      <c r="AU55" s="242"/>
      <c r="AV55" s="402"/>
      <c r="AW55" s="400"/>
      <c r="AX55" s="399"/>
      <c r="AY55" s="249"/>
      <c r="AZ55" s="248"/>
      <c r="BA55" s="248"/>
      <c r="BB55" s="248"/>
      <c r="BC55" s="248"/>
      <c r="BD55" s="248"/>
      <c r="BE55" s="247"/>
      <c r="BF55" s="399"/>
      <c r="BH55" s="167"/>
      <c r="BI55" s="166"/>
      <c r="BJ55" s="166"/>
      <c r="BK55" s="166"/>
      <c r="BL55" s="165"/>
      <c r="BM55" s="401"/>
      <c r="BN55" s="400"/>
      <c r="BO55" s="399">
        <f>SUM(BH55:BL55)</f>
        <v>0</v>
      </c>
      <c r="BP55" s="249"/>
      <c r="BQ55" s="248"/>
      <c r="BR55" s="248"/>
      <c r="BS55" s="248"/>
      <c r="BT55" s="248"/>
      <c r="BU55" s="248"/>
      <c r="BV55" s="247"/>
      <c r="BW55" s="399" t="e">
        <f>BO55*BV$42</f>
        <v>#REF!</v>
      </c>
      <c r="BY55" s="167"/>
      <c r="BZ55" s="166"/>
      <c r="CA55" s="166"/>
      <c r="CB55" s="166"/>
      <c r="CC55" s="165"/>
      <c r="CD55" s="401"/>
      <c r="CE55" s="400"/>
      <c r="CF55" s="399">
        <f>SUM(BY55:CC55)</f>
        <v>0</v>
      </c>
      <c r="CG55" s="249"/>
      <c r="CH55" s="248"/>
      <c r="CI55" s="248"/>
      <c r="CJ55" s="248"/>
      <c r="CK55" s="248"/>
      <c r="CL55" s="248"/>
      <c r="CM55" s="247"/>
      <c r="CN55" s="399" t="e">
        <f>CF55*CM$42</f>
        <v>#REF!</v>
      </c>
      <c r="CP55" s="198"/>
      <c r="CQ55" s="398">
        <f>SUMIF(I$1:CO$1,1,I55:CO55)</f>
        <v>0</v>
      </c>
      <c r="CR55" s="6"/>
      <c r="CS55" s="398" t="e">
        <f>SUMIF(I$1:CO$1,2,I55:CO55)</f>
        <v>#REF!</v>
      </c>
      <c r="CU55" s="398">
        <f>SUMIF(I$1:CO$1,3,I55:CO55)</f>
        <v>0</v>
      </c>
      <c r="CW55" s="270"/>
      <c r="CX55" s="270"/>
    </row>
    <row r="56" spans="1:102" ht="15" customHeight="1" x14ac:dyDescent="0.25">
      <c r="A56" s="406"/>
      <c r="B56" s="405"/>
      <c r="C56" s="79" t="s">
        <v>62</v>
      </c>
      <c r="D56" s="199" t="s">
        <v>173</v>
      </c>
      <c r="E56" s="174" t="s">
        <v>106</v>
      </c>
      <c r="F56" s="292"/>
      <c r="G56" s="292">
        <f>F56</f>
        <v>0</v>
      </c>
      <c r="I56" s="172"/>
      <c r="J56" s="171"/>
      <c r="K56" s="171"/>
      <c r="L56" s="171"/>
      <c r="M56" s="170"/>
      <c r="N56" s="403"/>
      <c r="O56" s="400"/>
      <c r="P56" s="399"/>
      <c r="Q56" s="238"/>
      <c r="R56" s="237"/>
      <c r="S56" s="237"/>
      <c r="T56" s="237"/>
      <c r="U56" s="237"/>
      <c r="V56" s="237"/>
      <c r="W56" s="236"/>
      <c r="X56" s="399">
        <f>P56*W$42</f>
        <v>0</v>
      </c>
      <c r="Z56" s="172"/>
      <c r="AA56" s="171"/>
      <c r="AB56" s="171"/>
      <c r="AC56" s="171"/>
      <c r="AD56" s="170"/>
      <c r="AE56" s="403"/>
      <c r="AF56" s="400"/>
      <c r="AG56" s="399"/>
      <c r="AH56" s="238"/>
      <c r="AI56" s="237"/>
      <c r="AJ56" s="237"/>
      <c r="AK56" s="237"/>
      <c r="AL56" s="237"/>
      <c r="AM56" s="237"/>
      <c r="AN56" s="236"/>
      <c r="AO56" s="399">
        <f>AG56*AN$42</f>
        <v>0</v>
      </c>
      <c r="AQ56" s="172"/>
      <c r="AR56" s="294"/>
      <c r="AS56" s="171"/>
      <c r="AT56" s="171"/>
      <c r="AU56" s="242"/>
      <c r="AV56" s="402"/>
      <c r="AW56" s="400"/>
      <c r="AX56" s="399"/>
      <c r="AY56" s="238"/>
      <c r="AZ56" s="237"/>
      <c r="BA56" s="237"/>
      <c r="BB56" s="237"/>
      <c r="BC56" s="237"/>
      <c r="BD56" s="237"/>
      <c r="BE56" s="236"/>
      <c r="BF56" s="399"/>
      <c r="BH56" s="167"/>
      <c r="BI56" s="166"/>
      <c r="BJ56" s="166"/>
      <c r="BK56" s="166"/>
      <c r="BL56" s="165"/>
      <c r="BM56" s="401"/>
      <c r="BN56" s="400"/>
      <c r="BO56" s="399">
        <f>SUM(BH56:BL56)</f>
        <v>0</v>
      </c>
      <c r="BP56" s="238"/>
      <c r="BQ56" s="237"/>
      <c r="BR56" s="237"/>
      <c r="BS56" s="237"/>
      <c r="BT56" s="237"/>
      <c r="BU56" s="237"/>
      <c r="BV56" s="236"/>
      <c r="BW56" s="399" t="e">
        <f>BO56*BV$42</f>
        <v>#REF!</v>
      </c>
      <c r="BY56" s="167"/>
      <c r="BZ56" s="166"/>
      <c r="CA56" s="166"/>
      <c r="CB56" s="166"/>
      <c r="CC56" s="165"/>
      <c r="CD56" s="401"/>
      <c r="CE56" s="400"/>
      <c r="CF56" s="399">
        <f>SUM(BY56:CC56)</f>
        <v>0</v>
      </c>
      <c r="CG56" s="238"/>
      <c r="CH56" s="237"/>
      <c r="CI56" s="237"/>
      <c r="CJ56" s="237"/>
      <c r="CK56" s="237"/>
      <c r="CL56" s="237"/>
      <c r="CM56" s="236"/>
      <c r="CN56" s="399" t="e">
        <f>CF56*CM$42</f>
        <v>#REF!</v>
      </c>
      <c r="CP56" s="6"/>
      <c r="CQ56" s="398">
        <f>SUMIF(I$1:CO$1,1,I56:CO56)</f>
        <v>0</v>
      </c>
      <c r="CR56" s="6"/>
      <c r="CS56" s="398" t="e">
        <f>SUMIF(I$1:CO$1,2,I56:CO56)</f>
        <v>#REF!</v>
      </c>
      <c r="CU56" s="398">
        <f>SUMIF(I$1:CO$1,3,I56:CO56)</f>
        <v>0</v>
      </c>
      <c r="CW56" s="270"/>
      <c r="CX56" s="270"/>
    </row>
    <row r="57" spans="1:102" ht="15" customHeight="1" thickBot="1" x14ac:dyDescent="0.3">
      <c r="A57" s="397"/>
      <c r="B57" s="231"/>
      <c r="C57" s="229"/>
      <c r="D57" s="230" t="s">
        <v>148</v>
      </c>
      <c r="E57" s="229"/>
      <c r="F57" s="289"/>
      <c r="G57" s="289"/>
      <c r="I57" s="227"/>
      <c r="J57" s="226"/>
      <c r="K57" s="226"/>
      <c r="L57" s="226"/>
      <c r="M57" s="225"/>
      <c r="N57" s="224"/>
      <c r="O57" s="218"/>
      <c r="P57" s="217"/>
      <c r="Q57" s="219"/>
      <c r="R57" s="219"/>
      <c r="S57" s="219"/>
      <c r="T57" s="219"/>
      <c r="U57" s="219"/>
      <c r="V57" s="219"/>
      <c r="W57" s="218"/>
      <c r="X57" s="217">
        <f>SUM(X42:X56)</f>
        <v>0</v>
      </c>
      <c r="Z57" s="304"/>
      <c r="AA57" s="305"/>
      <c r="AB57" s="305"/>
      <c r="AC57" s="305"/>
      <c r="AD57" s="289"/>
      <c r="AE57" s="224"/>
      <c r="AF57" s="218"/>
      <c r="AG57" s="217"/>
      <c r="AH57" s="219"/>
      <c r="AI57" s="219"/>
      <c r="AJ57" s="219"/>
      <c r="AK57" s="219"/>
      <c r="AL57" s="219"/>
      <c r="AM57" s="219"/>
      <c r="AN57" s="218"/>
      <c r="AO57" s="217">
        <f>SUM(AO42:AO56)</f>
        <v>0</v>
      </c>
      <c r="AQ57" s="304"/>
      <c r="AR57" s="226"/>
      <c r="AS57" s="226"/>
      <c r="AT57" s="226"/>
      <c r="AU57" s="226"/>
      <c r="AV57" s="223"/>
      <c r="AW57" s="218"/>
      <c r="AX57" s="217"/>
      <c r="AY57" s="219"/>
      <c r="AZ57" s="219"/>
      <c r="BA57" s="219"/>
      <c r="BB57" s="219"/>
      <c r="BC57" s="219"/>
      <c r="BD57" s="219"/>
      <c r="BE57" s="218"/>
      <c r="BF57" s="217"/>
      <c r="BH57" s="222"/>
      <c r="BI57" s="221"/>
      <c r="BJ57" s="221"/>
      <c r="BK57" s="221"/>
      <c r="BL57" s="221"/>
      <c r="BM57" s="220"/>
      <c r="BN57" s="218"/>
      <c r="BO57" s="217">
        <f>SUM(BO42:BO56)</f>
        <v>0</v>
      </c>
      <c r="BP57" s="219"/>
      <c r="BQ57" s="219"/>
      <c r="BR57" s="219"/>
      <c r="BS57" s="219"/>
      <c r="BT57" s="219"/>
      <c r="BU57" s="219"/>
      <c r="BV57" s="218"/>
      <c r="BW57" s="217" t="e">
        <f>SUM(BW42:BW56)</f>
        <v>#REF!</v>
      </c>
      <c r="BY57" s="222"/>
      <c r="BZ57" s="221"/>
      <c r="CA57" s="221"/>
      <c r="CB57" s="221"/>
      <c r="CC57" s="221"/>
      <c r="CD57" s="220"/>
      <c r="CE57" s="218"/>
      <c r="CF57" s="217">
        <f>SUM(CF42:CF56)</f>
        <v>0</v>
      </c>
      <c r="CG57" s="219"/>
      <c r="CH57" s="219"/>
      <c r="CI57" s="219"/>
      <c r="CJ57" s="219"/>
      <c r="CK57" s="219"/>
      <c r="CL57" s="219"/>
      <c r="CM57" s="218"/>
      <c r="CN57" s="217" t="e">
        <f>SUM(CN42:CN56)</f>
        <v>#REF!</v>
      </c>
      <c r="CP57" s="6"/>
      <c r="CQ57" s="139">
        <f>SUM(CQ42:CQ56)</f>
        <v>0</v>
      </c>
      <c r="CR57" s="6"/>
      <c r="CS57" s="139" t="e">
        <f>SUM(CS42:CS56)</f>
        <v>#REF!</v>
      </c>
      <c r="CU57" s="139"/>
      <c r="CW57" s="270"/>
      <c r="CX57" s="270"/>
    </row>
    <row r="58" spans="1:102" ht="15" customHeight="1" x14ac:dyDescent="0.25">
      <c r="A58" s="417" t="s">
        <v>114</v>
      </c>
      <c r="B58" s="89" t="s">
        <v>478</v>
      </c>
      <c r="C58" s="88" t="s">
        <v>477</v>
      </c>
      <c r="D58" s="416" t="s">
        <v>476</v>
      </c>
      <c r="E58" s="88" t="s">
        <v>240</v>
      </c>
      <c r="F58" s="316">
        <f>((0.001*(1.014*1.012*1.015)*1.1/1.17)*1.028)*(1.058)</f>
        <v>1.0650502913717335E-3</v>
      </c>
      <c r="G58" s="262">
        <f>F58*$G$1</f>
        <v>0</v>
      </c>
      <c r="I58" s="182"/>
      <c r="J58" s="181"/>
      <c r="K58" s="181"/>
      <c r="L58" s="181">
        <v>2628.4296926434295</v>
      </c>
      <c r="M58" s="180">
        <v>2665.0186596769104</v>
      </c>
      <c r="N58" s="415">
        <f>SUM(I58:M58)</f>
        <v>5293.4483523203398</v>
      </c>
      <c r="O58" s="276">
        <v>1</v>
      </c>
      <c r="P58" s="412"/>
      <c r="Q58" s="275"/>
      <c r="R58" s="274"/>
      <c r="S58" s="274"/>
      <c r="T58" s="274"/>
      <c r="U58" s="274"/>
      <c r="V58" s="274"/>
      <c r="W58" s="273"/>
      <c r="X58" s="412">
        <f>P58*W$58</f>
        <v>0</v>
      </c>
      <c r="Z58" s="182">
        <v>558.48585256373792</v>
      </c>
      <c r="AA58" s="181"/>
      <c r="AB58" s="181">
        <v>3643.1753612334442</v>
      </c>
      <c r="AC58" s="181"/>
      <c r="AD58" s="180">
        <v>5681.8062949929581</v>
      </c>
      <c r="AE58" s="415">
        <f>SUM(Z58:AD58)</f>
        <v>9883.4675087901414</v>
      </c>
      <c r="AF58" s="276">
        <v>1</v>
      </c>
      <c r="AG58" s="412"/>
      <c r="AH58" s="275"/>
      <c r="AI58" s="274"/>
      <c r="AJ58" s="274"/>
      <c r="AK58" s="274"/>
      <c r="AL58" s="274"/>
      <c r="AM58" s="274"/>
      <c r="AN58" s="273"/>
      <c r="AO58" s="412">
        <f>AG58*AN$58</f>
        <v>0</v>
      </c>
      <c r="AQ58" s="182"/>
      <c r="AR58" s="301"/>
      <c r="AS58" s="181"/>
      <c r="AT58" s="181"/>
      <c r="AU58" s="282"/>
      <c r="AV58" s="414">
        <f>SUM(AQ58:AU58)</f>
        <v>0</v>
      </c>
      <c r="AW58" s="276">
        <v>1</v>
      </c>
      <c r="AX58" s="412"/>
      <c r="AY58" s="275"/>
      <c r="AZ58" s="274"/>
      <c r="BA58" s="274"/>
      <c r="BB58" s="274"/>
      <c r="BC58" s="274"/>
      <c r="BD58" s="274"/>
      <c r="BE58" s="273"/>
      <c r="BF58" s="412"/>
      <c r="BH58" s="179"/>
      <c r="BI58" s="178"/>
      <c r="BJ58" s="178"/>
      <c r="BK58" s="178"/>
      <c r="BL58" s="177"/>
      <c r="BM58" s="413">
        <f>SUM(BH58:BL58)</f>
        <v>0</v>
      </c>
      <c r="BN58" s="276">
        <v>1</v>
      </c>
      <c r="BO58" s="412">
        <f>$G58*BM58*BN58</f>
        <v>0</v>
      </c>
      <c r="BP58" s="275" t="e">
        <f>VLOOKUP(BP5,#REF!,5,FALSE)/100+1</f>
        <v>#REF!</v>
      </c>
      <c r="BQ58" s="274" t="e">
        <f>VLOOKUP(BQ5,#REF!,5,FALSE)/100+1</f>
        <v>#REF!</v>
      </c>
      <c r="BR58" s="274" t="e">
        <f>VLOOKUP(BR5,#REF!,5,FALSE)/100+1</f>
        <v>#REF!</v>
      </c>
      <c r="BS58" s="274" t="e">
        <f>VLOOKUP(BS5,#REF!,5,FALSE)/100+1</f>
        <v>#REF!</v>
      </c>
      <c r="BT58" s="274" t="e">
        <f>VLOOKUP(BT5,#REF!,5,FALSE)/100+1</f>
        <v>#REF!</v>
      </c>
      <c r="BU58" s="274" t="e">
        <f>VLOOKUP(BU5,#REF!,5,FALSE)/100+1</f>
        <v>#REF!</v>
      </c>
      <c r="BV58" s="273" t="e">
        <f>BP58*BQ58*BR58*BS58*BT58*BU58</f>
        <v>#REF!</v>
      </c>
      <c r="BW58" s="412" t="e">
        <f>BO58*BV$58</f>
        <v>#REF!</v>
      </c>
      <c r="BY58" s="179"/>
      <c r="BZ58" s="178"/>
      <c r="CA58" s="178"/>
      <c r="CB58" s="178"/>
      <c r="CC58" s="177"/>
      <c r="CD58" s="413">
        <f>SUM(BY58:CC58)</f>
        <v>0</v>
      </c>
      <c r="CE58" s="276">
        <v>1</v>
      </c>
      <c r="CF58" s="412">
        <f>$G58*CD58*CE58</f>
        <v>0</v>
      </c>
      <c r="CG58" s="275" t="e">
        <f>VLOOKUP(CG5,#REF!,5,FALSE)/100+1</f>
        <v>#REF!</v>
      </c>
      <c r="CH58" s="274" t="e">
        <f>VLOOKUP(CH5,#REF!,5,FALSE)/100+1</f>
        <v>#REF!</v>
      </c>
      <c r="CI58" s="274" t="e">
        <f>VLOOKUP(CI5,#REF!,5,FALSE)/100+1</f>
        <v>#REF!</v>
      </c>
      <c r="CJ58" s="274" t="e">
        <f>VLOOKUP(CJ5,#REF!,5,FALSE)/100+1</f>
        <v>#REF!</v>
      </c>
      <c r="CK58" s="274" t="e">
        <f>VLOOKUP(CK5,#REF!,5,FALSE)/100+1</f>
        <v>#REF!</v>
      </c>
      <c r="CL58" s="274" t="e">
        <f>VLOOKUP(CL5,#REF!,5,FALSE)/100+1</f>
        <v>#REF!</v>
      </c>
      <c r="CM58" s="273" t="e">
        <f>CG58*CH58*CI58*CJ58*CK58*CL58</f>
        <v>#REF!</v>
      </c>
      <c r="CN58" s="412" t="e">
        <f>CF58*CM$58</f>
        <v>#REF!</v>
      </c>
      <c r="CP58" s="198"/>
      <c r="CQ58" s="411">
        <f>SUMIF(I$1:CO$1,1,I58:CO58)</f>
        <v>0</v>
      </c>
      <c r="CR58" s="6"/>
      <c r="CS58" s="411" t="e">
        <f>SUMIF(I$1:CO$1,2,I58:CO58)</f>
        <v>#REF!</v>
      </c>
      <c r="CU58" s="411">
        <f>SUMIF(I$1:CO$1,3,I58:CO58)</f>
        <v>9883.4675087901414</v>
      </c>
      <c r="CW58" s="270"/>
      <c r="CX58" s="270"/>
    </row>
    <row r="59" spans="1:102" ht="15" customHeight="1" x14ac:dyDescent="0.25">
      <c r="A59" s="406"/>
      <c r="B59" s="81"/>
      <c r="C59" s="79" t="s">
        <v>475</v>
      </c>
      <c r="D59" s="410" t="s">
        <v>474</v>
      </c>
      <c r="E59" s="79" t="s">
        <v>243</v>
      </c>
      <c r="F59" s="263">
        <f>((1.9*(1.014*1.012*1.015)*1.1/1.17)*1.028)*(1.058)</f>
        <v>2.0235955536062935</v>
      </c>
      <c r="G59" s="262">
        <f>F59*$G$1</f>
        <v>0</v>
      </c>
      <c r="I59" s="182"/>
      <c r="J59" s="181"/>
      <c r="K59" s="181"/>
      <c r="L59" s="181"/>
      <c r="M59" s="180"/>
      <c r="N59" s="403">
        <f>SUM(I59:M59)</f>
        <v>0</v>
      </c>
      <c r="O59" s="183">
        <v>1</v>
      </c>
      <c r="P59" s="399"/>
      <c r="Q59" s="249"/>
      <c r="R59" s="248"/>
      <c r="S59" s="248"/>
      <c r="T59" s="248"/>
      <c r="U59" s="248"/>
      <c r="V59" s="248"/>
      <c r="W59" s="247"/>
      <c r="X59" s="399">
        <f>P59*W$58</f>
        <v>0</v>
      </c>
      <c r="Z59" s="182"/>
      <c r="AA59" s="181"/>
      <c r="AB59" s="181"/>
      <c r="AC59" s="181"/>
      <c r="AD59" s="180"/>
      <c r="AE59" s="403">
        <f>SUM(Z59:AD59)</f>
        <v>0</v>
      </c>
      <c r="AF59" s="183">
        <v>1</v>
      </c>
      <c r="AG59" s="399"/>
      <c r="AH59" s="249"/>
      <c r="AI59" s="248"/>
      <c r="AJ59" s="248"/>
      <c r="AK59" s="248"/>
      <c r="AL59" s="248"/>
      <c r="AM59" s="248"/>
      <c r="AN59" s="247"/>
      <c r="AO59" s="399">
        <f>AG59*AN$58</f>
        <v>0</v>
      </c>
      <c r="AQ59" s="182"/>
      <c r="AR59" s="301"/>
      <c r="AS59" s="181"/>
      <c r="AT59" s="181"/>
      <c r="AU59" s="282"/>
      <c r="AV59" s="402">
        <f>SUM(AQ59:AU59)</f>
        <v>0</v>
      </c>
      <c r="AW59" s="183">
        <v>1</v>
      </c>
      <c r="AX59" s="399"/>
      <c r="AY59" s="249"/>
      <c r="AZ59" s="248"/>
      <c r="BA59" s="248"/>
      <c r="BB59" s="248"/>
      <c r="BC59" s="248"/>
      <c r="BD59" s="248"/>
      <c r="BE59" s="247"/>
      <c r="BF59" s="399"/>
      <c r="BH59" s="179"/>
      <c r="BI59" s="178"/>
      <c r="BJ59" s="178"/>
      <c r="BK59" s="178"/>
      <c r="BL59" s="177"/>
      <c r="BM59" s="401">
        <f>SUM(BH59:BL59)</f>
        <v>0</v>
      </c>
      <c r="BN59" s="183">
        <v>1</v>
      </c>
      <c r="BO59" s="399">
        <f>$G59*BM59*BN59</f>
        <v>0</v>
      </c>
      <c r="BP59" s="249"/>
      <c r="BQ59" s="248"/>
      <c r="BR59" s="248"/>
      <c r="BS59" s="248"/>
      <c r="BT59" s="248"/>
      <c r="BU59" s="248"/>
      <c r="BV59" s="247"/>
      <c r="BW59" s="399" t="e">
        <f>BO59*BV$58</f>
        <v>#REF!</v>
      </c>
      <c r="BY59" s="179"/>
      <c r="BZ59" s="178"/>
      <c r="CA59" s="178"/>
      <c r="CB59" s="178"/>
      <c r="CC59" s="177"/>
      <c r="CD59" s="401">
        <f>SUM(BY59:CC59)</f>
        <v>0</v>
      </c>
      <c r="CE59" s="183">
        <v>1</v>
      </c>
      <c r="CF59" s="399">
        <f>$G59*CD59*CE59</f>
        <v>0</v>
      </c>
      <c r="CG59" s="249"/>
      <c r="CH59" s="248"/>
      <c r="CI59" s="248"/>
      <c r="CJ59" s="248"/>
      <c r="CK59" s="248"/>
      <c r="CL59" s="248"/>
      <c r="CM59" s="247"/>
      <c r="CN59" s="399" t="e">
        <f>CF59*CM$58</f>
        <v>#REF!</v>
      </c>
      <c r="CP59" s="198"/>
      <c r="CQ59" s="398">
        <f>SUMIF(I$1:CO$1,1,I59:CO59)</f>
        <v>0</v>
      </c>
      <c r="CR59" s="6"/>
      <c r="CS59" s="398" t="e">
        <f>SUMIF(I$1:CO$1,2,I59:CO59)</f>
        <v>#REF!</v>
      </c>
      <c r="CU59" s="398">
        <f>SUMIF(I$1:CO$1,3,I59:CO59)</f>
        <v>0</v>
      </c>
      <c r="CW59" s="270"/>
      <c r="CX59" s="270"/>
    </row>
    <row r="60" spans="1:102" ht="15" customHeight="1" x14ac:dyDescent="0.25">
      <c r="A60" s="406"/>
      <c r="B60" s="80"/>
      <c r="C60" s="408" t="s">
        <v>473</v>
      </c>
      <c r="D60" s="409" t="s">
        <v>472</v>
      </c>
      <c r="E60" s="408" t="s">
        <v>243</v>
      </c>
      <c r="F60" s="313">
        <f>((1.5*(1.014*1.012*1.015)*1.1/1.17)*1.028)*(1.058)</f>
        <v>1.5975754370575999</v>
      </c>
      <c r="G60" s="262">
        <f>F60*$G$1</f>
        <v>0</v>
      </c>
      <c r="I60" s="172"/>
      <c r="J60" s="171"/>
      <c r="K60" s="171"/>
      <c r="L60" s="171"/>
      <c r="M60" s="170"/>
      <c r="N60" s="403">
        <f>SUM(I60:M60)</f>
        <v>0</v>
      </c>
      <c r="O60" s="183">
        <v>1</v>
      </c>
      <c r="P60" s="399"/>
      <c r="Q60" s="249"/>
      <c r="R60" s="248"/>
      <c r="S60" s="248"/>
      <c r="T60" s="248"/>
      <c r="U60" s="248"/>
      <c r="V60" s="248"/>
      <c r="W60" s="247"/>
      <c r="X60" s="399">
        <f>P60*W$58</f>
        <v>0</v>
      </c>
      <c r="Z60" s="172"/>
      <c r="AA60" s="171"/>
      <c r="AB60" s="171"/>
      <c r="AC60" s="171"/>
      <c r="AD60" s="170"/>
      <c r="AE60" s="403">
        <f>SUM(Z60:AD60)</f>
        <v>0</v>
      </c>
      <c r="AF60" s="183">
        <v>1</v>
      </c>
      <c r="AG60" s="399"/>
      <c r="AH60" s="249"/>
      <c r="AI60" s="248"/>
      <c r="AJ60" s="248"/>
      <c r="AK60" s="248"/>
      <c r="AL60" s="248"/>
      <c r="AM60" s="248"/>
      <c r="AN60" s="247"/>
      <c r="AO60" s="399">
        <f>AG60*AN$58</f>
        <v>0</v>
      </c>
      <c r="AQ60" s="172"/>
      <c r="AR60" s="294"/>
      <c r="AS60" s="171"/>
      <c r="AT60" s="171"/>
      <c r="AU60" s="242"/>
      <c r="AV60" s="402">
        <f>SUM(AQ60:AU60)</f>
        <v>0</v>
      </c>
      <c r="AW60" s="183">
        <v>1</v>
      </c>
      <c r="AX60" s="399"/>
      <c r="AY60" s="249"/>
      <c r="AZ60" s="248"/>
      <c r="BA60" s="248"/>
      <c r="BB60" s="248"/>
      <c r="BC60" s="248"/>
      <c r="BD60" s="248"/>
      <c r="BE60" s="247"/>
      <c r="BF60" s="399"/>
      <c r="BH60" s="167"/>
      <c r="BI60" s="166"/>
      <c r="BJ60" s="166"/>
      <c r="BK60" s="166"/>
      <c r="BL60" s="165"/>
      <c r="BM60" s="401">
        <f>SUM(BH60:BL60)</f>
        <v>0</v>
      </c>
      <c r="BN60" s="183">
        <v>1</v>
      </c>
      <c r="BO60" s="399">
        <f>$G60*BM60*BN60</f>
        <v>0</v>
      </c>
      <c r="BP60" s="249"/>
      <c r="BQ60" s="248"/>
      <c r="BR60" s="248"/>
      <c r="BS60" s="248"/>
      <c r="BT60" s="248"/>
      <c r="BU60" s="248"/>
      <c r="BV60" s="247"/>
      <c r="BW60" s="399" t="e">
        <f>BO60*BV$58</f>
        <v>#REF!</v>
      </c>
      <c r="BY60" s="167"/>
      <c r="BZ60" s="166"/>
      <c r="CA60" s="166"/>
      <c r="CB60" s="166"/>
      <c r="CC60" s="165"/>
      <c r="CD60" s="401">
        <f>SUM(BY60:CC60)</f>
        <v>0</v>
      </c>
      <c r="CE60" s="183">
        <v>1</v>
      </c>
      <c r="CF60" s="399">
        <f>$G60*CD60*CE60</f>
        <v>0</v>
      </c>
      <c r="CG60" s="249"/>
      <c r="CH60" s="248"/>
      <c r="CI60" s="248"/>
      <c r="CJ60" s="248"/>
      <c r="CK60" s="248"/>
      <c r="CL60" s="248"/>
      <c r="CM60" s="247"/>
      <c r="CN60" s="399" t="e">
        <f>CF60*CM$58</f>
        <v>#REF!</v>
      </c>
      <c r="CP60" s="198"/>
      <c r="CQ60" s="398">
        <f>SUMIF(I$1:CO$1,1,I60:CO60)</f>
        <v>0</v>
      </c>
      <c r="CR60" s="6"/>
      <c r="CS60" s="398" t="e">
        <f>SUMIF(I$1:CO$1,2,I60:CO60)</f>
        <v>#REF!</v>
      </c>
      <c r="CU60" s="398">
        <f>SUMIF(I$1:CO$1,3,I60:CO60)</f>
        <v>0</v>
      </c>
      <c r="CW60" s="270"/>
      <c r="CX60" s="270"/>
    </row>
    <row r="61" spans="1:102" ht="15" customHeight="1" x14ac:dyDescent="0.25">
      <c r="A61" s="406"/>
      <c r="B61" s="407" t="s">
        <v>178</v>
      </c>
      <c r="C61" s="79" t="s">
        <v>61</v>
      </c>
      <c r="D61" s="255" t="s">
        <v>175</v>
      </c>
      <c r="E61" s="254"/>
      <c r="F61" s="308"/>
      <c r="G61" s="308">
        <f>F61</f>
        <v>0</v>
      </c>
      <c r="I61" s="172"/>
      <c r="J61" s="171"/>
      <c r="K61" s="171"/>
      <c r="L61" s="171"/>
      <c r="M61" s="170"/>
      <c r="N61" s="403">
        <f>SUM(I61:M61)</f>
        <v>0</v>
      </c>
      <c r="O61" s="183">
        <v>1</v>
      </c>
      <c r="P61" s="399"/>
      <c r="Q61" s="249"/>
      <c r="R61" s="248"/>
      <c r="S61" s="248"/>
      <c r="T61" s="248"/>
      <c r="U61" s="248"/>
      <c r="V61" s="248"/>
      <c r="W61" s="247"/>
      <c r="X61" s="399">
        <f>P61*W$58</f>
        <v>0</v>
      </c>
      <c r="Z61" s="172"/>
      <c r="AA61" s="171"/>
      <c r="AB61" s="171"/>
      <c r="AC61" s="171"/>
      <c r="AD61" s="170"/>
      <c r="AE61" s="403">
        <f>SUM(Z61:AD61)</f>
        <v>0</v>
      </c>
      <c r="AF61" s="183">
        <v>1</v>
      </c>
      <c r="AG61" s="399"/>
      <c r="AH61" s="249"/>
      <c r="AI61" s="248"/>
      <c r="AJ61" s="248"/>
      <c r="AK61" s="248"/>
      <c r="AL61" s="248"/>
      <c r="AM61" s="248"/>
      <c r="AN61" s="247"/>
      <c r="AO61" s="399">
        <f>AG61*AN$58</f>
        <v>0</v>
      </c>
      <c r="AQ61" s="172"/>
      <c r="AR61" s="294"/>
      <c r="AS61" s="171"/>
      <c r="AT61" s="171"/>
      <c r="AU61" s="242"/>
      <c r="AV61" s="402">
        <f>SUM(AQ61:AU61)</f>
        <v>0</v>
      </c>
      <c r="AW61" s="183">
        <v>1</v>
      </c>
      <c r="AX61" s="399"/>
      <c r="AY61" s="249"/>
      <c r="AZ61" s="248"/>
      <c r="BA61" s="248"/>
      <c r="BB61" s="248"/>
      <c r="BC61" s="248"/>
      <c r="BD61" s="248"/>
      <c r="BE61" s="247"/>
      <c r="BF61" s="399"/>
      <c r="BH61" s="167"/>
      <c r="BI61" s="166"/>
      <c r="BJ61" s="166"/>
      <c r="BK61" s="166"/>
      <c r="BL61" s="165"/>
      <c r="BM61" s="401">
        <f>SUM(BH61:BL61)</f>
        <v>0</v>
      </c>
      <c r="BN61" s="183">
        <v>1</v>
      </c>
      <c r="BO61" s="399">
        <f>$G61*BM61*BN61</f>
        <v>0</v>
      </c>
      <c r="BP61" s="249"/>
      <c r="BQ61" s="248"/>
      <c r="BR61" s="248"/>
      <c r="BS61" s="248"/>
      <c r="BT61" s="248"/>
      <c r="BU61" s="248"/>
      <c r="BV61" s="247"/>
      <c r="BW61" s="399" t="e">
        <f>BO61*BV$58</f>
        <v>#REF!</v>
      </c>
      <c r="BY61" s="167"/>
      <c r="BZ61" s="166"/>
      <c r="CA61" s="166"/>
      <c r="CB61" s="166"/>
      <c r="CC61" s="165"/>
      <c r="CD61" s="401">
        <f>SUM(BY61:CC61)</f>
        <v>0</v>
      </c>
      <c r="CE61" s="183">
        <v>1</v>
      </c>
      <c r="CF61" s="399">
        <f>$G61*CD61*CE61</f>
        <v>0</v>
      </c>
      <c r="CG61" s="249"/>
      <c r="CH61" s="248"/>
      <c r="CI61" s="248"/>
      <c r="CJ61" s="248"/>
      <c r="CK61" s="248"/>
      <c r="CL61" s="248"/>
      <c r="CM61" s="247"/>
      <c r="CN61" s="399" t="e">
        <f>CF61*CM$58</f>
        <v>#REF!</v>
      </c>
      <c r="CP61" s="198"/>
      <c r="CQ61" s="398">
        <f>SUMIF(I$1:CO$1,1,I61:CO61)</f>
        <v>0</v>
      </c>
      <c r="CR61" s="6"/>
      <c r="CS61" s="398" t="e">
        <f>SUMIF(I$1:CO$1,2,I61:CO61)</f>
        <v>#REF!</v>
      </c>
      <c r="CU61" s="398">
        <f>SUMIF(I$1:CO$1,3,I61:CO61)</f>
        <v>0</v>
      </c>
      <c r="CW61" s="270"/>
      <c r="CX61" s="270"/>
    </row>
    <row r="62" spans="1:102" ht="15" customHeight="1" x14ac:dyDescent="0.25">
      <c r="A62" s="406"/>
      <c r="B62" s="405"/>
      <c r="C62" s="79" t="s">
        <v>60</v>
      </c>
      <c r="D62" s="255" t="s">
        <v>175</v>
      </c>
      <c r="E62" s="254"/>
      <c r="F62" s="308"/>
      <c r="G62" s="308">
        <f>F62</f>
        <v>0</v>
      </c>
      <c r="I62" s="172"/>
      <c r="J62" s="171"/>
      <c r="K62" s="171"/>
      <c r="L62" s="171"/>
      <c r="M62" s="170"/>
      <c r="N62" s="403">
        <f>SUM(I62:M62)</f>
        <v>0</v>
      </c>
      <c r="O62" s="183">
        <v>1</v>
      </c>
      <c r="P62" s="399"/>
      <c r="Q62" s="249"/>
      <c r="R62" s="248"/>
      <c r="S62" s="248"/>
      <c r="T62" s="248"/>
      <c r="U62" s="248"/>
      <c r="V62" s="248"/>
      <c r="W62" s="247"/>
      <c r="X62" s="399">
        <f>P62*W$58</f>
        <v>0</v>
      </c>
      <c r="Z62" s="172"/>
      <c r="AA62" s="171"/>
      <c r="AB62" s="171"/>
      <c r="AC62" s="171"/>
      <c r="AD62" s="170"/>
      <c r="AE62" s="403">
        <f>SUM(Z62:AD62)</f>
        <v>0</v>
      </c>
      <c r="AF62" s="183">
        <v>1</v>
      </c>
      <c r="AG62" s="399"/>
      <c r="AH62" s="249"/>
      <c r="AI62" s="248"/>
      <c r="AJ62" s="248"/>
      <c r="AK62" s="248"/>
      <c r="AL62" s="248"/>
      <c r="AM62" s="248"/>
      <c r="AN62" s="247"/>
      <c r="AO62" s="399">
        <f>AG62*AN$58</f>
        <v>0</v>
      </c>
      <c r="AQ62" s="172"/>
      <c r="AR62" s="294"/>
      <c r="AS62" s="171"/>
      <c r="AT62" s="171"/>
      <c r="AU62" s="242"/>
      <c r="AV62" s="402">
        <f>SUM(AQ62:AU62)</f>
        <v>0</v>
      </c>
      <c r="AW62" s="183">
        <v>1</v>
      </c>
      <c r="AX62" s="399"/>
      <c r="AY62" s="249"/>
      <c r="AZ62" s="248"/>
      <c r="BA62" s="248"/>
      <c r="BB62" s="248"/>
      <c r="BC62" s="248"/>
      <c r="BD62" s="248"/>
      <c r="BE62" s="247"/>
      <c r="BF62" s="399"/>
      <c r="BH62" s="167"/>
      <c r="BI62" s="166"/>
      <c r="BJ62" s="166"/>
      <c r="BK62" s="166"/>
      <c r="BL62" s="165"/>
      <c r="BM62" s="401">
        <f>SUM(BH62:BL62)</f>
        <v>0</v>
      </c>
      <c r="BN62" s="183">
        <v>1</v>
      </c>
      <c r="BO62" s="399">
        <f>$G62*BM62*BN62</f>
        <v>0</v>
      </c>
      <c r="BP62" s="249"/>
      <c r="BQ62" s="248"/>
      <c r="BR62" s="248"/>
      <c r="BS62" s="248"/>
      <c r="BT62" s="248"/>
      <c r="BU62" s="248"/>
      <c r="BV62" s="247"/>
      <c r="BW62" s="399" t="e">
        <f>BO62*BV$58</f>
        <v>#REF!</v>
      </c>
      <c r="BY62" s="167"/>
      <c r="BZ62" s="166"/>
      <c r="CA62" s="166"/>
      <c r="CB62" s="166"/>
      <c r="CC62" s="165"/>
      <c r="CD62" s="401">
        <f>SUM(BY62:CC62)</f>
        <v>0</v>
      </c>
      <c r="CE62" s="183">
        <v>1</v>
      </c>
      <c r="CF62" s="399">
        <f>$G62*CD62*CE62</f>
        <v>0</v>
      </c>
      <c r="CG62" s="249"/>
      <c r="CH62" s="248"/>
      <c r="CI62" s="248"/>
      <c r="CJ62" s="248"/>
      <c r="CK62" s="248"/>
      <c r="CL62" s="248"/>
      <c r="CM62" s="247"/>
      <c r="CN62" s="399" t="e">
        <f>CF62*CM$58</f>
        <v>#REF!</v>
      </c>
      <c r="CP62" s="198"/>
      <c r="CQ62" s="398">
        <f>SUMIF(I$1:CO$1,1,I62:CO62)</f>
        <v>0</v>
      </c>
      <c r="CR62" s="6"/>
      <c r="CS62" s="398" t="e">
        <f>SUMIF(I$1:CO$1,2,I62:CO62)</f>
        <v>#REF!</v>
      </c>
      <c r="CU62" s="398">
        <f>SUMIF(I$1:CO$1,3,I62:CO62)</f>
        <v>0</v>
      </c>
      <c r="CW62" s="270"/>
      <c r="CX62" s="270"/>
    </row>
    <row r="63" spans="1:102" ht="15" customHeight="1" x14ac:dyDescent="0.25">
      <c r="A63" s="406"/>
      <c r="B63" s="405"/>
      <c r="C63" s="79" t="s">
        <v>59</v>
      </c>
      <c r="D63" s="252" t="s">
        <v>173</v>
      </c>
      <c r="E63" s="174" t="s">
        <v>106</v>
      </c>
      <c r="F63" s="292"/>
      <c r="G63" s="292">
        <f>F63</f>
        <v>0</v>
      </c>
      <c r="I63" s="172"/>
      <c r="J63" s="171"/>
      <c r="K63" s="171"/>
      <c r="L63" s="171"/>
      <c r="M63" s="170"/>
      <c r="N63" s="403"/>
      <c r="O63" s="400"/>
      <c r="P63" s="399"/>
      <c r="Q63" s="249"/>
      <c r="R63" s="248"/>
      <c r="S63" s="248"/>
      <c r="T63" s="248"/>
      <c r="U63" s="248"/>
      <c r="V63" s="248"/>
      <c r="W63" s="247"/>
      <c r="X63" s="399">
        <f>P63*W$58</f>
        <v>0</v>
      </c>
      <c r="Z63" s="172"/>
      <c r="AA63" s="171"/>
      <c r="AB63" s="171"/>
      <c r="AC63" s="171"/>
      <c r="AD63" s="170"/>
      <c r="AE63" s="403"/>
      <c r="AF63" s="400"/>
      <c r="AG63" s="399"/>
      <c r="AH63" s="249"/>
      <c r="AI63" s="248"/>
      <c r="AJ63" s="248"/>
      <c r="AK63" s="248"/>
      <c r="AL63" s="248"/>
      <c r="AM63" s="248"/>
      <c r="AN63" s="247"/>
      <c r="AO63" s="399">
        <f>AG63*AN$58</f>
        <v>0</v>
      </c>
      <c r="AQ63" s="172"/>
      <c r="AR63" s="294"/>
      <c r="AS63" s="171"/>
      <c r="AT63" s="171"/>
      <c r="AU63" s="242"/>
      <c r="AV63" s="402"/>
      <c r="AW63" s="400"/>
      <c r="AX63" s="399"/>
      <c r="AY63" s="249"/>
      <c r="AZ63" s="248"/>
      <c r="BA63" s="248"/>
      <c r="BB63" s="248"/>
      <c r="BC63" s="248"/>
      <c r="BD63" s="248"/>
      <c r="BE63" s="247"/>
      <c r="BF63" s="399"/>
      <c r="BH63" s="167"/>
      <c r="BI63" s="166"/>
      <c r="BJ63" s="166"/>
      <c r="BK63" s="166"/>
      <c r="BL63" s="165"/>
      <c r="BM63" s="401"/>
      <c r="BN63" s="400"/>
      <c r="BO63" s="399">
        <f>SUM(BH63:BL63)</f>
        <v>0</v>
      </c>
      <c r="BP63" s="249"/>
      <c r="BQ63" s="248"/>
      <c r="BR63" s="248"/>
      <c r="BS63" s="248"/>
      <c r="BT63" s="248"/>
      <c r="BU63" s="248"/>
      <c r="BV63" s="247"/>
      <c r="BW63" s="399" t="e">
        <f>BO63*BV$58</f>
        <v>#REF!</v>
      </c>
      <c r="BY63" s="167"/>
      <c r="BZ63" s="166"/>
      <c r="CA63" s="166"/>
      <c r="CB63" s="166"/>
      <c r="CC63" s="165"/>
      <c r="CD63" s="401"/>
      <c r="CE63" s="400"/>
      <c r="CF63" s="399">
        <f>SUM(BY63:CC63)</f>
        <v>0</v>
      </c>
      <c r="CG63" s="249"/>
      <c r="CH63" s="248"/>
      <c r="CI63" s="248"/>
      <c r="CJ63" s="248"/>
      <c r="CK63" s="248"/>
      <c r="CL63" s="248"/>
      <c r="CM63" s="247"/>
      <c r="CN63" s="399" t="e">
        <f>CF63*CM$58</f>
        <v>#REF!</v>
      </c>
      <c r="CP63" s="198"/>
      <c r="CQ63" s="398">
        <f>SUMIF(I$1:CO$1,1,I63:CO63)</f>
        <v>0</v>
      </c>
      <c r="CR63" s="6"/>
      <c r="CS63" s="398" t="e">
        <f>SUMIF(I$1:CO$1,2,I63:CO63)</f>
        <v>#REF!</v>
      </c>
      <c r="CU63" s="398">
        <f>SUMIF(I$1:CO$1,3,I63:CO63)</f>
        <v>0</v>
      </c>
      <c r="CW63" s="270"/>
      <c r="CX63" s="270"/>
    </row>
    <row r="64" spans="1:102" ht="15" customHeight="1" x14ac:dyDescent="0.25">
      <c r="A64" s="406"/>
      <c r="B64" s="405"/>
      <c r="C64" s="404" t="s">
        <v>58</v>
      </c>
      <c r="D64" s="199" t="s">
        <v>173</v>
      </c>
      <c r="E64" s="174" t="s">
        <v>106</v>
      </c>
      <c r="F64" s="292"/>
      <c r="G64" s="292">
        <f>F64</f>
        <v>0</v>
      </c>
      <c r="I64" s="172"/>
      <c r="J64" s="171"/>
      <c r="K64" s="171"/>
      <c r="L64" s="171"/>
      <c r="M64" s="170"/>
      <c r="N64" s="403"/>
      <c r="O64" s="400"/>
      <c r="P64" s="399"/>
      <c r="Q64" s="238"/>
      <c r="R64" s="237"/>
      <c r="S64" s="237"/>
      <c r="T64" s="237"/>
      <c r="U64" s="237"/>
      <c r="V64" s="237"/>
      <c r="W64" s="236"/>
      <c r="X64" s="399">
        <f>P64*W$58</f>
        <v>0</v>
      </c>
      <c r="Z64" s="172"/>
      <c r="AA64" s="171"/>
      <c r="AB64" s="171"/>
      <c r="AC64" s="171"/>
      <c r="AD64" s="170"/>
      <c r="AE64" s="403"/>
      <c r="AF64" s="400"/>
      <c r="AG64" s="399"/>
      <c r="AH64" s="238"/>
      <c r="AI64" s="237"/>
      <c r="AJ64" s="237"/>
      <c r="AK64" s="237"/>
      <c r="AL64" s="237"/>
      <c r="AM64" s="237"/>
      <c r="AN64" s="236"/>
      <c r="AO64" s="399">
        <f>AG64*AN$58</f>
        <v>0</v>
      </c>
      <c r="AQ64" s="172"/>
      <c r="AR64" s="294"/>
      <c r="AS64" s="171"/>
      <c r="AT64" s="171"/>
      <c r="AU64" s="242"/>
      <c r="AV64" s="402"/>
      <c r="AW64" s="400"/>
      <c r="AX64" s="399"/>
      <c r="AY64" s="238"/>
      <c r="AZ64" s="237"/>
      <c r="BA64" s="237"/>
      <c r="BB64" s="237"/>
      <c r="BC64" s="237"/>
      <c r="BD64" s="237"/>
      <c r="BE64" s="236"/>
      <c r="BF64" s="399"/>
      <c r="BH64" s="167"/>
      <c r="BI64" s="166"/>
      <c r="BJ64" s="166"/>
      <c r="BK64" s="166"/>
      <c r="BL64" s="165"/>
      <c r="BM64" s="401"/>
      <c r="BN64" s="400"/>
      <c r="BO64" s="399">
        <f>SUM(BH64:BL64)</f>
        <v>0</v>
      </c>
      <c r="BP64" s="238"/>
      <c r="BQ64" s="237"/>
      <c r="BR64" s="237"/>
      <c r="BS64" s="237"/>
      <c r="BT64" s="237"/>
      <c r="BU64" s="237"/>
      <c r="BV64" s="236"/>
      <c r="BW64" s="399" t="e">
        <f>BO64*BV$58</f>
        <v>#REF!</v>
      </c>
      <c r="BY64" s="167"/>
      <c r="BZ64" s="166"/>
      <c r="CA64" s="166"/>
      <c r="CB64" s="166"/>
      <c r="CC64" s="165"/>
      <c r="CD64" s="401"/>
      <c r="CE64" s="400"/>
      <c r="CF64" s="399">
        <f>SUM(BY64:CC64)</f>
        <v>0</v>
      </c>
      <c r="CG64" s="238"/>
      <c r="CH64" s="237"/>
      <c r="CI64" s="237"/>
      <c r="CJ64" s="237"/>
      <c r="CK64" s="237"/>
      <c r="CL64" s="237"/>
      <c r="CM64" s="236"/>
      <c r="CN64" s="399" t="e">
        <f>CF64*CM$58</f>
        <v>#REF!</v>
      </c>
      <c r="CP64" s="6"/>
      <c r="CQ64" s="398">
        <f>SUMIF(I$1:CO$1,1,I64:CO64)</f>
        <v>0</v>
      </c>
      <c r="CR64" s="6"/>
      <c r="CS64" s="398" t="e">
        <f>SUMIF(I$1:CO$1,2,I64:CO64)</f>
        <v>#REF!</v>
      </c>
      <c r="CU64" s="398">
        <f>SUMIF(I$1:CO$1,3,I64:CO64)</f>
        <v>0</v>
      </c>
      <c r="CW64" s="270"/>
      <c r="CX64" s="270"/>
    </row>
    <row r="65" spans="1:102" ht="15" customHeight="1" thickBot="1" x14ac:dyDescent="0.3">
      <c r="A65" s="397"/>
      <c r="B65" s="231"/>
      <c r="C65" s="229"/>
      <c r="D65" s="230" t="s">
        <v>148</v>
      </c>
      <c r="E65" s="229"/>
      <c r="F65" s="289"/>
      <c r="G65" s="289"/>
      <c r="I65" s="227"/>
      <c r="J65" s="226"/>
      <c r="K65" s="226"/>
      <c r="L65" s="226"/>
      <c r="M65" s="225"/>
      <c r="N65" s="224"/>
      <c r="O65" s="218"/>
      <c r="P65" s="217"/>
      <c r="Q65" s="219"/>
      <c r="R65" s="219"/>
      <c r="S65" s="219"/>
      <c r="T65" s="219"/>
      <c r="U65" s="219"/>
      <c r="V65" s="219"/>
      <c r="W65" s="218"/>
      <c r="X65" s="217">
        <f>SUM(X58:X64)</f>
        <v>0</v>
      </c>
      <c r="Z65" s="304"/>
      <c r="AA65" s="305"/>
      <c r="AB65" s="305"/>
      <c r="AC65" s="305"/>
      <c r="AD65" s="289"/>
      <c r="AE65" s="224"/>
      <c r="AF65" s="218"/>
      <c r="AG65" s="217"/>
      <c r="AH65" s="219"/>
      <c r="AI65" s="219"/>
      <c r="AJ65" s="219"/>
      <c r="AK65" s="219"/>
      <c r="AL65" s="219"/>
      <c r="AM65" s="219"/>
      <c r="AN65" s="218"/>
      <c r="AO65" s="217">
        <f>SUM(AO58:AO64)</f>
        <v>0</v>
      </c>
      <c r="AQ65" s="304"/>
      <c r="AR65" s="226"/>
      <c r="AS65" s="226"/>
      <c r="AT65" s="226"/>
      <c r="AU65" s="226"/>
      <c r="AV65" s="223"/>
      <c r="AW65" s="218"/>
      <c r="AX65" s="217"/>
      <c r="AY65" s="219"/>
      <c r="AZ65" s="219"/>
      <c r="BA65" s="219"/>
      <c r="BB65" s="219"/>
      <c r="BC65" s="219"/>
      <c r="BD65" s="219"/>
      <c r="BE65" s="218"/>
      <c r="BF65" s="217"/>
      <c r="BH65" s="222"/>
      <c r="BI65" s="221"/>
      <c r="BJ65" s="221"/>
      <c r="BK65" s="221"/>
      <c r="BL65" s="221"/>
      <c r="BM65" s="220"/>
      <c r="BN65" s="218"/>
      <c r="BO65" s="217">
        <f>SUM(BO58:BO64)</f>
        <v>0</v>
      </c>
      <c r="BP65" s="219"/>
      <c r="BQ65" s="219"/>
      <c r="BR65" s="219"/>
      <c r="BS65" s="219"/>
      <c r="BT65" s="219"/>
      <c r="BU65" s="219"/>
      <c r="BV65" s="218"/>
      <c r="BW65" s="217" t="e">
        <f>SUM(BW58:BW64)</f>
        <v>#REF!</v>
      </c>
      <c r="BY65" s="222"/>
      <c r="BZ65" s="221"/>
      <c r="CA65" s="221"/>
      <c r="CB65" s="221"/>
      <c r="CC65" s="221"/>
      <c r="CD65" s="220"/>
      <c r="CE65" s="218"/>
      <c r="CF65" s="217">
        <f>SUM(CF58:CF64)</f>
        <v>0</v>
      </c>
      <c r="CG65" s="219"/>
      <c r="CH65" s="219"/>
      <c r="CI65" s="219"/>
      <c r="CJ65" s="219"/>
      <c r="CK65" s="219"/>
      <c r="CL65" s="219"/>
      <c r="CM65" s="218"/>
      <c r="CN65" s="217" t="e">
        <f>SUM(CN58:CN64)</f>
        <v>#REF!</v>
      </c>
      <c r="CP65" s="6"/>
      <c r="CQ65" s="139">
        <f>SUM(CQ58:CQ64)</f>
        <v>0</v>
      </c>
      <c r="CR65" s="6"/>
      <c r="CS65" s="139" t="e">
        <f>SUM(CS58:CS64)</f>
        <v>#REF!</v>
      </c>
      <c r="CU65" s="139"/>
      <c r="CW65" s="270"/>
      <c r="CX65" s="270"/>
    </row>
    <row r="66" spans="1:102" ht="15" customHeight="1" x14ac:dyDescent="0.25">
      <c r="A66" s="288" t="s">
        <v>142</v>
      </c>
      <c r="B66" s="287" t="s">
        <v>471</v>
      </c>
      <c r="C66" s="72" t="s">
        <v>470</v>
      </c>
      <c r="D66" s="353" t="s">
        <v>469</v>
      </c>
      <c r="E66" s="285" t="s">
        <v>401</v>
      </c>
      <c r="F66" s="316">
        <f>((0.0033*(1.014*1.012*1.015)*1.1/1.11)*1.028)*(1.058)</f>
        <v>3.7046479053930285E-3</v>
      </c>
      <c r="G66" s="262">
        <f>F66*$G$1</f>
        <v>0</v>
      </c>
      <c r="I66" s="333"/>
      <c r="J66" s="332"/>
      <c r="K66" s="332">
        <v>3130</v>
      </c>
      <c r="L66" s="332">
        <v>330</v>
      </c>
      <c r="M66" s="396">
        <v>2940</v>
      </c>
      <c r="N66" s="284">
        <f>SUM(I66:M66)</f>
        <v>6400</v>
      </c>
      <c r="O66" s="391">
        <v>1</v>
      </c>
      <c r="P66" s="272"/>
      <c r="Q66" s="275"/>
      <c r="R66" s="274"/>
      <c r="S66" s="274"/>
      <c r="T66" s="274"/>
      <c r="U66" s="274"/>
      <c r="V66" s="274"/>
      <c r="W66" s="273"/>
      <c r="X66" s="272">
        <f>P66*W$66</f>
        <v>0</v>
      </c>
      <c r="Z66" s="333">
        <v>3572</v>
      </c>
      <c r="AA66" s="395">
        <v>4278</v>
      </c>
      <c r="AB66" s="331">
        <v>3084</v>
      </c>
      <c r="AC66" s="331">
        <v>5220</v>
      </c>
      <c r="AD66" s="334">
        <f>4068+150</f>
        <v>4218</v>
      </c>
      <c r="AE66" s="284">
        <f>SUM(Z66:AD66)</f>
        <v>20372</v>
      </c>
      <c r="AF66" s="391">
        <v>1</v>
      </c>
      <c r="AG66" s="272"/>
      <c r="AH66" s="275"/>
      <c r="AI66" s="274"/>
      <c r="AJ66" s="274"/>
      <c r="AK66" s="274"/>
      <c r="AL66" s="274"/>
      <c r="AM66" s="274"/>
      <c r="AN66" s="273"/>
      <c r="AO66" s="272">
        <f>AG66*AN$66</f>
        <v>0</v>
      </c>
      <c r="AQ66" s="333">
        <v>7180</v>
      </c>
      <c r="AR66" s="332"/>
      <c r="AS66" s="332"/>
      <c r="AT66" s="332"/>
      <c r="AU66" s="330"/>
      <c r="AV66" s="281">
        <f>SUM(AQ66:AU66)</f>
        <v>7180</v>
      </c>
      <c r="AW66" s="391">
        <v>1</v>
      </c>
      <c r="AX66" s="272"/>
      <c r="AY66" s="275"/>
      <c r="AZ66" s="274"/>
      <c r="BA66" s="274"/>
      <c r="BB66" s="274"/>
      <c r="BC66" s="274"/>
      <c r="BD66" s="274"/>
      <c r="BE66" s="273"/>
      <c r="BF66" s="272"/>
      <c r="BH66" s="394"/>
      <c r="BI66" s="393"/>
      <c r="BJ66" s="393"/>
      <c r="BK66" s="393"/>
      <c r="BL66" s="392"/>
      <c r="BM66" s="277">
        <f>SUM(BH66:BL66)</f>
        <v>0</v>
      </c>
      <c r="BN66" s="391">
        <v>1</v>
      </c>
      <c r="BO66" s="272">
        <f>BM66*$G66*BN66</f>
        <v>0</v>
      </c>
      <c r="BP66" s="275" t="e">
        <f>VLOOKUP(BP5,#REF!,6,FALSE)/100+1</f>
        <v>#REF!</v>
      </c>
      <c r="BQ66" s="274" t="e">
        <f>VLOOKUP(BQ5,#REF!,6,FALSE)/100+1</f>
        <v>#REF!</v>
      </c>
      <c r="BR66" s="274" t="e">
        <f>VLOOKUP(BR5,#REF!,6,FALSE)/100+1</f>
        <v>#REF!</v>
      </c>
      <c r="BS66" s="274" t="e">
        <f>VLOOKUP(BS5,#REF!,6,FALSE)/100+1</f>
        <v>#REF!</v>
      </c>
      <c r="BT66" s="274" t="e">
        <f>VLOOKUP(BT5,#REF!,6,FALSE)/100+1</f>
        <v>#REF!</v>
      </c>
      <c r="BU66" s="274" t="e">
        <f>VLOOKUP(BU5,#REF!,6,FALSE)/100+1</f>
        <v>#REF!</v>
      </c>
      <c r="BV66" s="273" t="e">
        <f>BP66*BQ66*BR66*BS66*BT66*BU66</f>
        <v>#REF!</v>
      </c>
      <c r="BW66" s="272" t="e">
        <f>BO66*BV$66</f>
        <v>#REF!</v>
      </c>
      <c r="BY66" s="394"/>
      <c r="BZ66" s="393"/>
      <c r="CA66" s="393"/>
      <c r="CB66" s="393"/>
      <c r="CC66" s="392"/>
      <c r="CD66" s="277">
        <f>SUM(BY66:CC66)</f>
        <v>0</v>
      </c>
      <c r="CE66" s="391">
        <v>1</v>
      </c>
      <c r="CF66" s="272">
        <f>CD66*$G66*CE66</f>
        <v>0</v>
      </c>
      <c r="CG66" s="275" t="e">
        <f>VLOOKUP(CG5,#REF!,6,FALSE)/100+1</f>
        <v>#REF!</v>
      </c>
      <c r="CH66" s="274" t="e">
        <f>VLOOKUP(CH5,#REF!,6,FALSE)/100+1</f>
        <v>#REF!</v>
      </c>
      <c r="CI66" s="274" t="e">
        <f>VLOOKUP(CI5,#REF!,6,FALSE)/100+1</f>
        <v>#REF!</v>
      </c>
      <c r="CJ66" s="274" t="e">
        <f>VLOOKUP(CJ5,#REF!,6,FALSE)/100+1</f>
        <v>#REF!</v>
      </c>
      <c r="CK66" s="274" t="e">
        <f>VLOOKUP(CK5,#REF!,6,FALSE)/100+1</f>
        <v>#REF!</v>
      </c>
      <c r="CL66" s="274" t="e">
        <f>VLOOKUP(CL5,#REF!,6,FALSE)/100+1</f>
        <v>#REF!</v>
      </c>
      <c r="CM66" s="273" t="e">
        <f>CG66*CH66*CI66*CJ66*CK66*CL66</f>
        <v>#REF!</v>
      </c>
      <c r="CN66" s="272" t="e">
        <f>CF66*CM$66</f>
        <v>#REF!</v>
      </c>
      <c r="CP66" s="6"/>
      <c r="CQ66" s="271">
        <f>SUMIF(I$1:CO$1,1,I66:CO66)</f>
        <v>0</v>
      </c>
      <c r="CR66" s="6"/>
      <c r="CS66" s="271" t="e">
        <f>SUMIF(I$1:CO$1,2,I66:CO66)</f>
        <v>#REF!</v>
      </c>
      <c r="CU66" s="271">
        <f>SUMIF(I$1:CO$1,3,I66:CO66)</f>
        <v>27552</v>
      </c>
      <c r="CW66" s="270"/>
      <c r="CX66" s="270"/>
    </row>
    <row r="67" spans="1:102" ht="15" customHeight="1" x14ac:dyDescent="0.25">
      <c r="A67" s="245"/>
      <c r="B67" s="244"/>
      <c r="C67" s="72" t="s">
        <v>468</v>
      </c>
      <c r="D67" s="353" t="s">
        <v>467</v>
      </c>
      <c r="E67" s="293" t="s">
        <v>401</v>
      </c>
      <c r="F67" s="389">
        <f>((0.0045*(1.014*1.012*1.015)*1.1/1.11)*1.028)*(1.058)</f>
        <v>5.0517925982632205E-3</v>
      </c>
      <c r="G67" s="262">
        <f>F67*$G$1</f>
        <v>0</v>
      </c>
      <c r="I67" s="182"/>
      <c r="J67" s="301"/>
      <c r="K67" s="301">
        <v>15</v>
      </c>
      <c r="L67" s="301">
        <v>82</v>
      </c>
      <c r="M67" s="357">
        <v>45</v>
      </c>
      <c r="N67" s="321">
        <f>SUM(I67:M67)</f>
        <v>142</v>
      </c>
      <c r="O67" s="348">
        <v>1</v>
      </c>
      <c r="P67" s="318"/>
      <c r="Q67" s="249"/>
      <c r="R67" s="248"/>
      <c r="S67" s="248"/>
      <c r="T67" s="248"/>
      <c r="U67" s="248"/>
      <c r="V67" s="248"/>
      <c r="W67" s="247"/>
      <c r="X67" s="318">
        <f>P67*W$66</f>
        <v>0</v>
      </c>
      <c r="Z67" s="182">
        <v>413</v>
      </c>
      <c r="AA67" s="375">
        <v>10</v>
      </c>
      <c r="AB67" s="181">
        <v>709</v>
      </c>
      <c r="AC67" s="181">
        <v>120</v>
      </c>
      <c r="AD67" s="180">
        <f>697+20</f>
        <v>717</v>
      </c>
      <c r="AE67" s="321">
        <f>SUM(Z67:AD67)</f>
        <v>1969</v>
      </c>
      <c r="AF67" s="348">
        <v>1</v>
      </c>
      <c r="AG67" s="318"/>
      <c r="AH67" s="249"/>
      <c r="AI67" s="248"/>
      <c r="AJ67" s="248"/>
      <c r="AK67" s="248"/>
      <c r="AL67" s="248"/>
      <c r="AM67" s="248"/>
      <c r="AN67" s="247"/>
      <c r="AO67" s="318">
        <f>AG67*AN$66</f>
        <v>0</v>
      </c>
      <c r="AQ67" s="182">
        <f>316+1090</f>
        <v>1406</v>
      </c>
      <c r="AR67" s="301"/>
      <c r="AS67" s="301"/>
      <c r="AT67" s="301"/>
      <c r="AU67" s="282"/>
      <c r="AV67" s="317">
        <f>SUM(AQ67:AU67)</f>
        <v>1406</v>
      </c>
      <c r="AW67" s="348">
        <v>1</v>
      </c>
      <c r="AX67" s="318"/>
      <c r="AY67" s="249"/>
      <c r="AZ67" s="248"/>
      <c r="BA67" s="248"/>
      <c r="BB67" s="248"/>
      <c r="BC67" s="248"/>
      <c r="BD67" s="248"/>
      <c r="BE67" s="247"/>
      <c r="BF67" s="318"/>
      <c r="BH67" s="374"/>
      <c r="BI67" s="390"/>
      <c r="BJ67" s="373"/>
      <c r="BK67" s="373"/>
      <c r="BL67" s="372"/>
      <c r="BM67" s="319">
        <f>SUM(BH67:BL67)</f>
        <v>0</v>
      </c>
      <c r="BN67" s="348">
        <v>1</v>
      </c>
      <c r="BO67" s="318">
        <f>BM67*$G67*BN67</f>
        <v>0</v>
      </c>
      <c r="BP67" s="249"/>
      <c r="BQ67" s="248"/>
      <c r="BR67" s="248"/>
      <c r="BS67" s="248"/>
      <c r="BT67" s="248"/>
      <c r="BU67" s="248"/>
      <c r="BV67" s="247"/>
      <c r="BW67" s="318" t="e">
        <f>BO67*BV$66</f>
        <v>#REF!</v>
      </c>
      <c r="BY67" s="374"/>
      <c r="BZ67" s="373"/>
      <c r="CA67" s="373"/>
      <c r="CB67" s="373"/>
      <c r="CC67" s="372"/>
      <c r="CD67" s="319">
        <f>SUM(BY67:CC67)</f>
        <v>0</v>
      </c>
      <c r="CE67" s="348">
        <v>1</v>
      </c>
      <c r="CF67" s="318">
        <f>CD67*$G67*CE67</f>
        <v>0</v>
      </c>
      <c r="CG67" s="249"/>
      <c r="CH67" s="248"/>
      <c r="CI67" s="248"/>
      <c r="CJ67" s="248"/>
      <c r="CK67" s="248"/>
      <c r="CL67" s="248"/>
      <c r="CM67" s="247"/>
      <c r="CN67" s="318" t="e">
        <f>CF67*CM$66</f>
        <v>#REF!</v>
      </c>
      <c r="CP67" s="6"/>
      <c r="CQ67" s="233">
        <f>SUMIF(I$1:CO$1,1,I67:CO67)</f>
        <v>0</v>
      </c>
      <c r="CR67" s="6"/>
      <c r="CS67" s="233" t="e">
        <f>SUMIF(I$1:CO$1,2,I67:CO67)</f>
        <v>#REF!</v>
      </c>
      <c r="CU67" s="233">
        <f>SUMIF(I$1:CO$1,3,I67:CO67)</f>
        <v>3375</v>
      </c>
      <c r="CW67" s="270"/>
      <c r="CX67" s="270"/>
    </row>
    <row r="68" spans="1:102" ht="15" customHeight="1" x14ac:dyDescent="0.25">
      <c r="A68" s="245"/>
      <c r="B68" s="244"/>
      <c r="C68" s="72" t="s">
        <v>466</v>
      </c>
      <c r="D68" s="353" t="s">
        <v>465</v>
      </c>
      <c r="E68" s="293" t="s">
        <v>401</v>
      </c>
      <c r="F68" s="389">
        <f>((0.0175*(1.014*1.012*1.015)*1.1/1.11)*1.028)*(1.058)</f>
        <v>1.9645860104356969E-2</v>
      </c>
      <c r="G68" s="262">
        <f>F68*$G$1</f>
        <v>0</v>
      </c>
      <c r="I68" s="182"/>
      <c r="J68" s="301"/>
      <c r="K68" s="301">
        <v>6258</v>
      </c>
      <c r="L68" s="301">
        <v>997</v>
      </c>
      <c r="M68" s="357">
        <v>4932</v>
      </c>
      <c r="N68" s="321">
        <f>SUM(I68:M68)</f>
        <v>12187</v>
      </c>
      <c r="O68" s="348">
        <v>1</v>
      </c>
      <c r="P68" s="318"/>
      <c r="Q68" s="249"/>
      <c r="R68" s="248"/>
      <c r="S68" s="248"/>
      <c r="T68" s="248"/>
      <c r="U68" s="248"/>
      <c r="V68" s="248"/>
      <c r="W68" s="247"/>
      <c r="X68" s="318">
        <f>P68*W$66</f>
        <v>0</v>
      </c>
      <c r="Z68" s="182">
        <v>3595</v>
      </c>
      <c r="AA68" s="375">
        <v>8490</v>
      </c>
      <c r="AB68" s="181">
        <v>2555</v>
      </c>
      <c r="AC68" s="181">
        <v>10470</v>
      </c>
      <c r="AD68" s="180">
        <v>3893</v>
      </c>
      <c r="AE68" s="321">
        <f>SUM(Z68:AD68)</f>
        <v>29003</v>
      </c>
      <c r="AF68" s="348">
        <v>1</v>
      </c>
      <c r="AG68" s="318"/>
      <c r="AH68" s="249"/>
      <c r="AI68" s="248"/>
      <c r="AJ68" s="248"/>
      <c r="AK68" s="248"/>
      <c r="AL68" s="248"/>
      <c r="AM68" s="248"/>
      <c r="AN68" s="247"/>
      <c r="AO68" s="318">
        <f>AG68*AN$66</f>
        <v>0</v>
      </c>
      <c r="AQ68" s="182">
        <v>12730</v>
      </c>
      <c r="AR68" s="301"/>
      <c r="AS68" s="301"/>
      <c r="AT68" s="301"/>
      <c r="AU68" s="282"/>
      <c r="AV68" s="317">
        <f>SUM(AQ68:AU68)</f>
        <v>12730</v>
      </c>
      <c r="AW68" s="348">
        <v>1</v>
      </c>
      <c r="AX68" s="318"/>
      <c r="AY68" s="249"/>
      <c r="AZ68" s="248"/>
      <c r="BA68" s="248"/>
      <c r="BB68" s="248"/>
      <c r="BC68" s="248"/>
      <c r="BD68" s="248"/>
      <c r="BE68" s="247"/>
      <c r="BF68" s="318"/>
      <c r="BH68" s="374"/>
      <c r="BI68" s="373"/>
      <c r="BJ68" s="373"/>
      <c r="BK68" s="373"/>
      <c r="BL68" s="372"/>
      <c r="BM68" s="319">
        <f>SUM(BH68:BL68)</f>
        <v>0</v>
      </c>
      <c r="BN68" s="348">
        <v>1</v>
      </c>
      <c r="BO68" s="318">
        <f>BM68*$G68*BN68</f>
        <v>0</v>
      </c>
      <c r="BP68" s="249"/>
      <c r="BQ68" s="248"/>
      <c r="BR68" s="248"/>
      <c r="BS68" s="248"/>
      <c r="BT68" s="248"/>
      <c r="BU68" s="248"/>
      <c r="BV68" s="247"/>
      <c r="BW68" s="318" t="e">
        <f>BO68*BV$66</f>
        <v>#REF!</v>
      </c>
      <c r="BY68" s="374"/>
      <c r="BZ68" s="373"/>
      <c r="CA68" s="373"/>
      <c r="CB68" s="373"/>
      <c r="CC68" s="372"/>
      <c r="CD68" s="319">
        <f>SUM(BY68:CC68)</f>
        <v>0</v>
      </c>
      <c r="CE68" s="348">
        <v>1</v>
      </c>
      <c r="CF68" s="318">
        <f>CD68*$G68*CE68</f>
        <v>0</v>
      </c>
      <c r="CG68" s="249"/>
      <c r="CH68" s="248"/>
      <c r="CI68" s="248"/>
      <c r="CJ68" s="248"/>
      <c r="CK68" s="248"/>
      <c r="CL68" s="248"/>
      <c r="CM68" s="247"/>
      <c r="CN68" s="318" t="e">
        <f>CF68*CM$66</f>
        <v>#REF!</v>
      </c>
      <c r="CP68" s="6"/>
      <c r="CQ68" s="233">
        <f>SUMIF(I$1:CO$1,1,I68:CO68)</f>
        <v>0</v>
      </c>
      <c r="CR68" s="6"/>
      <c r="CS68" s="233" t="e">
        <f>SUMIF(I$1:CO$1,2,I68:CO68)</f>
        <v>#REF!</v>
      </c>
      <c r="CU68" s="233">
        <f>SUMIF(I$1:CO$1,3,I68:CO68)</f>
        <v>41733</v>
      </c>
      <c r="CW68" s="270"/>
      <c r="CX68" s="270"/>
    </row>
    <row r="69" spans="1:102" ht="15" customHeight="1" x14ac:dyDescent="0.25">
      <c r="A69" s="245"/>
      <c r="B69" s="244"/>
      <c r="C69" s="72" t="s">
        <v>464</v>
      </c>
      <c r="D69" s="353" t="s">
        <v>463</v>
      </c>
      <c r="E69" s="293" t="s">
        <v>401</v>
      </c>
      <c r="F69" s="389">
        <f>((0.035*(1.014*1.012*1.015)*1.1/1.11)*1.028)*(1.058)</f>
        <v>3.9291720208713937E-2</v>
      </c>
      <c r="G69" s="262">
        <f>F69*$G$1</f>
        <v>0</v>
      </c>
      <c r="I69" s="182"/>
      <c r="J69" s="301"/>
      <c r="K69" s="301"/>
      <c r="L69" s="301"/>
      <c r="M69" s="357"/>
      <c r="N69" s="321">
        <f>SUM(I69:M69)</f>
        <v>0</v>
      </c>
      <c r="O69" s="348">
        <v>1</v>
      </c>
      <c r="P69" s="318"/>
      <c r="Q69" s="249"/>
      <c r="R69" s="248"/>
      <c r="S69" s="248"/>
      <c r="T69" s="248"/>
      <c r="U69" s="248"/>
      <c r="V69" s="248"/>
      <c r="W69" s="247"/>
      <c r="X69" s="318">
        <f>P69*W$66</f>
        <v>0</v>
      </c>
      <c r="Z69" s="182"/>
      <c r="AA69" s="375"/>
      <c r="AB69" s="181"/>
      <c r="AC69" s="181"/>
      <c r="AD69" s="180"/>
      <c r="AE69" s="321">
        <f>SUM(Z69:AD69)</f>
        <v>0</v>
      </c>
      <c r="AF69" s="348">
        <v>1</v>
      </c>
      <c r="AG69" s="318"/>
      <c r="AH69" s="249"/>
      <c r="AI69" s="248"/>
      <c r="AJ69" s="248"/>
      <c r="AK69" s="248"/>
      <c r="AL69" s="248"/>
      <c r="AM69" s="248"/>
      <c r="AN69" s="247"/>
      <c r="AO69" s="318">
        <f>AG69*AN$66</f>
        <v>0</v>
      </c>
      <c r="AQ69" s="182"/>
      <c r="AR69" s="301"/>
      <c r="AS69" s="301"/>
      <c r="AT69" s="301"/>
      <c r="AU69" s="282"/>
      <c r="AV69" s="317">
        <f>SUM(AQ69:AU69)</f>
        <v>0</v>
      </c>
      <c r="AW69" s="348">
        <v>1</v>
      </c>
      <c r="AX69" s="318"/>
      <c r="AY69" s="249"/>
      <c r="AZ69" s="248"/>
      <c r="BA69" s="248"/>
      <c r="BB69" s="248"/>
      <c r="BC69" s="248"/>
      <c r="BD69" s="248"/>
      <c r="BE69" s="247"/>
      <c r="BF69" s="318"/>
      <c r="BH69" s="374"/>
      <c r="BI69" s="373"/>
      <c r="BJ69" s="373"/>
      <c r="BK69" s="373"/>
      <c r="BL69" s="372"/>
      <c r="BM69" s="319">
        <f>SUM(BH69:BL69)</f>
        <v>0</v>
      </c>
      <c r="BN69" s="348">
        <v>1</v>
      </c>
      <c r="BO69" s="318">
        <f>BM69*$G69*BN69</f>
        <v>0</v>
      </c>
      <c r="BP69" s="249"/>
      <c r="BQ69" s="248"/>
      <c r="BR69" s="248"/>
      <c r="BS69" s="248"/>
      <c r="BT69" s="248"/>
      <c r="BU69" s="248"/>
      <c r="BV69" s="247"/>
      <c r="BW69" s="318" t="e">
        <f>BO69*BV$66</f>
        <v>#REF!</v>
      </c>
      <c r="BY69" s="374"/>
      <c r="BZ69" s="373"/>
      <c r="CA69" s="373"/>
      <c r="CB69" s="373"/>
      <c r="CC69" s="372"/>
      <c r="CD69" s="319">
        <f>SUM(BY69:CC69)</f>
        <v>0</v>
      </c>
      <c r="CE69" s="348">
        <v>1</v>
      </c>
      <c r="CF69" s="318">
        <f>CD69*$G69*CE69</f>
        <v>0</v>
      </c>
      <c r="CG69" s="249"/>
      <c r="CH69" s="248"/>
      <c r="CI69" s="248"/>
      <c r="CJ69" s="248"/>
      <c r="CK69" s="248"/>
      <c r="CL69" s="248"/>
      <c r="CM69" s="247"/>
      <c r="CN69" s="318" t="e">
        <f>CF69*CM$66</f>
        <v>#REF!</v>
      </c>
      <c r="CP69" s="6"/>
      <c r="CQ69" s="233">
        <f>SUMIF(I$1:CO$1,1,I69:CO69)</f>
        <v>0</v>
      </c>
      <c r="CR69" s="6"/>
      <c r="CS69" s="233" t="e">
        <f>SUMIF(I$1:CO$1,2,I69:CO69)</f>
        <v>#REF!</v>
      </c>
      <c r="CU69" s="233">
        <f>SUMIF(I$1:CO$1,3,I69:CO69)</f>
        <v>0</v>
      </c>
      <c r="CW69" s="270"/>
      <c r="CX69" s="270"/>
    </row>
    <row r="70" spans="1:102" ht="15" customHeight="1" x14ac:dyDescent="0.25">
      <c r="A70" s="245"/>
      <c r="B70" s="244"/>
      <c r="C70" s="72" t="s">
        <v>462</v>
      </c>
      <c r="D70" s="353" t="s">
        <v>461</v>
      </c>
      <c r="E70" s="293" t="s">
        <v>401</v>
      </c>
      <c r="F70" s="389">
        <f>((0.034*(1.014*1.012*1.015)*1.1/1.11)*1.028)*(1.058)</f>
        <v>3.8169099631322118E-2</v>
      </c>
      <c r="G70" s="262">
        <f>F70*$G$1</f>
        <v>0</v>
      </c>
      <c r="I70" s="182"/>
      <c r="J70" s="301"/>
      <c r="K70" s="301"/>
      <c r="L70" s="301"/>
      <c r="M70" s="357"/>
      <c r="N70" s="321">
        <f>SUM(I70:M70)</f>
        <v>0</v>
      </c>
      <c r="O70" s="348">
        <v>1</v>
      </c>
      <c r="P70" s="318"/>
      <c r="Q70" s="249"/>
      <c r="R70" s="248"/>
      <c r="S70" s="248"/>
      <c r="T70" s="248"/>
      <c r="U70" s="248"/>
      <c r="V70" s="248"/>
      <c r="W70" s="247"/>
      <c r="X70" s="318">
        <f>P70*W$66</f>
        <v>0</v>
      </c>
      <c r="Z70" s="182"/>
      <c r="AA70" s="375"/>
      <c r="AB70" s="181"/>
      <c r="AC70" s="181"/>
      <c r="AD70" s="180"/>
      <c r="AE70" s="321">
        <f>SUM(Z70:AD70)</f>
        <v>0</v>
      </c>
      <c r="AF70" s="348">
        <v>1</v>
      </c>
      <c r="AG70" s="318"/>
      <c r="AH70" s="249"/>
      <c r="AI70" s="248"/>
      <c r="AJ70" s="248"/>
      <c r="AK70" s="248"/>
      <c r="AL70" s="248"/>
      <c r="AM70" s="248"/>
      <c r="AN70" s="247"/>
      <c r="AO70" s="318">
        <f>AG70*AN$66</f>
        <v>0</v>
      </c>
      <c r="AQ70" s="182"/>
      <c r="AR70" s="301"/>
      <c r="AS70" s="301"/>
      <c r="AT70" s="301"/>
      <c r="AU70" s="282"/>
      <c r="AV70" s="317">
        <f>SUM(AQ70:AU70)</f>
        <v>0</v>
      </c>
      <c r="AW70" s="348">
        <v>1</v>
      </c>
      <c r="AX70" s="318"/>
      <c r="AY70" s="249"/>
      <c r="AZ70" s="248"/>
      <c r="BA70" s="248"/>
      <c r="BB70" s="248"/>
      <c r="BC70" s="248"/>
      <c r="BD70" s="248"/>
      <c r="BE70" s="247"/>
      <c r="BF70" s="318"/>
      <c r="BH70" s="374"/>
      <c r="BI70" s="373"/>
      <c r="BJ70" s="373"/>
      <c r="BK70" s="373"/>
      <c r="BL70" s="372"/>
      <c r="BM70" s="319">
        <f>SUM(BH70:BL70)</f>
        <v>0</v>
      </c>
      <c r="BN70" s="348">
        <v>1</v>
      </c>
      <c r="BO70" s="318">
        <f>BM70*$G70*BN70</f>
        <v>0</v>
      </c>
      <c r="BP70" s="249"/>
      <c r="BQ70" s="248"/>
      <c r="BR70" s="248"/>
      <c r="BS70" s="248"/>
      <c r="BT70" s="248"/>
      <c r="BU70" s="248"/>
      <c r="BV70" s="247"/>
      <c r="BW70" s="318" t="e">
        <f>BO70*BV$66</f>
        <v>#REF!</v>
      </c>
      <c r="BY70" s="374"/>
      <c r="BZ70" s="373"/>
      <c r="CA70" s="373"/>
      <c r="CB70" s="373"/>
      <c r="CC70" s="372"/>
      <c r="CD70" s="319">
        <f>SUM(BY70:CC70)</f>
        <v>0</v>
      </c>
      <c r="CE70" s="348">
        <v>1</v>
      </c>
      <c r="CF70" s="318">
        <f>CD70*$G70*CE70</f>
        <v>0</v>
      </c>
      <c r="CG70" s="249"/>
      <c r="CH70" s="248"/>
      <c r="CI70" s="248"/>
      <c r="CJ70" s="248"/>
      <c r="CK70" s="248"/>
      <c r="CL70" s="248"/>
      <c r="CM70" s="247"/>
      <c r="CN70" s="318" t="e">
        <f>CF70*CM$66</f>
        <v>#REF!</v>
      </c>
      <c r="CP70" s="6"/>
      <c r="CQ70" s="233">
        <f>SUMIF(I$1:CO$1,1,I70:CO70)</f>
        <v>0</v>
      </c>
      <c r="CR70" s="6"/>
      <c r="CS70" s="233" t="e">
        <f>SUMIF(I$1:CO$1,2,I70:CO70)</f>
        <v>#REF!</v>
      </c>
      <c r="CU70" s="233">
        <f>SUMIF(I$1:CO$1,3,I70:CO70)</f>
        <v>0</v>
      </c>
      <c r="CW70" s="270"/>
      <c r="CX70" s="270"/>
    </row>
    <row r="71" spans="1:102" ht="15" customHeight="1" x14ac:dyDescent="0.25">
      <c r="A71" s="245"/>
      <c r="B71" s="244"/>
      <c r="C71" s="72" t="s">
        <v>460</v>
      </c>
      <c r="D71" s="265" t="s">
        <v>459</v>
      </c>
      <c r="E71" s="72" t="s">
        <v>401</v>
      </c>
      <c r="F71" s="263">
        <f>((0.0158*(1.014*1.012*1.015)*1.1/1.11)*1.028)*(1.058)</f>
        <v>1.7737405122790869E-2</v>
      </c>
      <c r="G71" s="262">
        <f>F71*$G$1</f>
        <v>0</v>
      </c>
      <c r="I71" s="172"/>
      <c r="J71" s="294"/>
      <c r="K71" s="294"/>
      <c r="L71" s="294">
        <v>263</v>
      </c>
      <c r="M71" s="322"/>
      <c r="N71" s="321">
        <f>SUM(I71:M71)</f>
        <v>263</v>
      </c>
      <c r="O71" s="348">
        <v>1</v>
      </c>
      <c r="P71" s="318"/>
      <c r="Q71" s="249"/>
      <c r="R71" s="248"/>
      <c r="S71" s="248"/>
      <c r="T71" s="248"/>
      <c r="U71" s="248"/>
      <c r="V71" s="248"/>
      <c r="W71" s="247"/>
      <c r="X71" s="318">
        <f>P71*W$66</f>
        <v>0</v>
      </c>
      <c r="Z71" s="172">
        <v>695</v>
      </c>
      <c r="AA71" s="376"/>
      <c r="AB71" s="171">
        <v>275</v>
      </c>
      <c r="AC71" s="171"/>
      <c r="AD71" s="170">
        <f>190+160</f>
        <v>350</v>
      </c>
      <c r="AE71" s="321">
        <f>SUM(Z71:AD71)</f>
        <v>1320</v>
      </c>
      <c r="AF71" s="348">
        <v>1</v>
      </c>
      <c r="AG71" s="318"/>
      <c r="AH71" s="249"/>
      <c r="AI71" s="248"/>
      <c r="AJ71" s="248"/>
      <c r="AK71" s="248"/>
      <c r="AL71" s="248"/>
      <c r="AM71" s="248"/>
      <c r="AN71" s="247"/>
      <c r="AO71" s="318">
        <f>AG71*AN$66</f>
        <v>0</v>
      </c>
      <c r="AQ71" s="172">
        <v>1090</v>
      </c>
      <c r="AR71" s="294"/>
      <c r="AS71" s="294"/>
      <c r="AT71" s="294"/>
      <c r="AU71" s="242"/>
      <c r="AV71" s="317">
        <f>SUM(AQ71:AU71)</f>
        <v>1090</v>
      </c>
      <c r="AW71" s="348">
        <v>1</v>
      </c>
      <c r="AX71" s="318"/>
      <c r="AY71" s="249"/>
      <c r="AZ71" s="248"/>
      <c r="BA71" s="248"/>
      <c r="BB71" s="248"/>
      <c r="BC71" s="248"/>
      <c r="BD71" s="248"/>
      <c r="BE71" s="247"/>
      <c r="BF71" s="318"/>
      <c r="BH71" s="370"/>
      <c r="BI71" s="369"/>
      <c r="BJ71" s="369"/>
      <c r="BK71" s="369"/>
      <c r="BL71" s="368"/>
      <c r="BM71" s="319">
        <f>SUM(BH71:BL71)</f>
        <v>0</v>
      </c>
      <c r="BN71" s="348">
        <v>1</v>
      </c>
      <c r="BO71" s="318">
        <f>BM71*$G71*BN71</f>
        <v>0</v>
      </c>
      <c r="BP71" s="249"/>
      <c r="BQ71" s="248"/>
      <c r="BR71" s="248"/>
      <c r="BS71" s="248"/>
      <c r="BT71" s="248"/>
      <c r="BU71" s="248"/>
      <c r="BV71" s="247"/>
      <c r="BW71" s="318" t="e">
        <f>BO71*BV$66</f>
        <v>#REF!</v>
      </c>
      <c r="BY71" s="370"/>
      <c r="BZ71" s="369"/>
      <c r="CA71" s="369"/>
      <c r="CB71" s="369"/>
      <c r="CC71" s="368"/>
      <c r="CD71" s="319">
        <f>SUM(BY71:CC71)</f>
        <v>0</v>
      </c>
      <c r="CE71" s="348">
        <v>1</v>
      </c>
      <c r="CF71" s="318">
        <f>CD71*$G71*CE71</f>
        <v>0</v>
      </c>
      <c r="CG71" s="249"/>
      <c r="CH71" s="248"/>
      <c r="CI71" s="248"/>
      <c r="CJ71" s="248"/>
      <c r="CK71" s="248"/>
      <c r="CL71" s="248"/>
      <c r="CM71" s="247"/>
      <c r="CN71" s="318" t="e">
        <f>CF71*CM$66</f>
        <v>#REF!</v>
      </c>
      <c r="CP71" s="6"/>
      <c r="CQ71" s="233">
        <f>SUMIF(I$1:CO$1,1,I71:CO71)</f>
        <v>0</v>
      </c>
      <c r="CR71" s="6"/>
      <c r="CS71" s="233" t="e">
        <f>SUMIF(I$1:CO$1,2,I71:CO71)</f>
        <v>#REF!</v>
      </c>
      <c r="CU71" s="233">
        <f>SUMIF(I$1:CO$1,3,I71:CO71)</f>
        <v>2410</v>
      </c>
      <c r="CW71" s="270"/>
      <c r="CX71" s="270"/>
    </row>
    <row r="72" spans="1:102" ht="15" customHeight="1" x14ac:dyDescent="0.25">
      <c r="A72" s="245"/>
      <c r="B72" s="257" t="s">
        <v>458</v>
      </c>
      <c r="C72" s="72" t="s">
        <v>457</v>
      </c>
      <c r="D72" s="265" t="s">
        <v>456</v>
      </c>
      <c r="E72" s="72" t="s">
        <v>243</v>
      </c>
      <c r="F72" s="263">
        <f>((8.6*(1.014*1.012*1.015)*1.1/1.11)*1.028)*(1.058)</f>
        <v>9.6545369655697097</v>
      </c>
      <c r="G72" s="262">
        <f>F72*$G$1</f>
        <v>0</v>
      </c>
      <c r="I72" s="172"/>
      <c r="J72" s="294"/>
      <c r="K72" s="294"/>
      <c r="L72" s="294"/>
      <c r="M72" s="322"/>
      <c r="N72" s="321">
        <f>SUM(I72:M72)</f>
        <v>0</v>
      </c>
      <c r="O72" s="348">
        <v>1</v>
      </c>
      <c r="P72" s="318"/>
      <c r="Q72" s="249"/>
      <c r="R72" s="248"/>
      <c r="S72" s="248"/>
      <c r="T72" s="248"/>
      <c r="U72" s="248"/>
      <c r="V72" s="248"/>
      <c r="W72" s="247"/>
      <c r="X72" s="318">
        <f>P72*W$66</f>
        <v>0</v>
      </c>
      <c r="Z72" s="172"/>
      <c r="AA72" s="371"/>
      <c r="AB72" s="171"/>
      <c r="AC72" s="171"/>
      <c r="AD72" s="170"/>
      <c r="AE72" s="321">
        <f>SUM(Z72:AD72)</f>
        <v>0</v>
      </c>
      <c r="AF72" s="348">
        <v>1</v>
      </c>
      <c r="AG72" s="318"/>
      <c r="AH72" s="249"/>
      <c r="AI72" s="248"/>
      <c r="AJ72" s="248"/>
      <c r="AK72" s="248"/>
      <c r="AL72" s="248"/>
      <c r="AM72" s="248"/>
      <c r="AN72" s="247"/>
      <c r="AO72" s="318">
        <f>AG72*AN$66</f>
        <v>0</v>
      </c>
      <c r="AQ72" s="172"/>
      <c r="AR72" s="294"/>
      <c r="AS72" s="294"/>
      <c r="AT72" s="294"/>
      <c r="AU72" s="242"/>
      <c r="AV72" s="317">
        <f>SUM(AQ72:AU72)</f>
        <v>0</v>
      </c>
      <c r="AW72" s="348">
        <v>1</v>
      </c>
      <c r="AX72" s="318"/>
      <c r="AY72" s="249"/>
      <c r="AZ72" s="248"/>
      <c r="BA72" s="248"/>
      <c r="BB72" s="248"/>
      <c r="BC72" s="248"/>
      <c r="BD72" s="248"/>
      <c r="BE72" s="247"/>
      <c r="BF72" s="318"/>
      <c r="BH72" s="370"/>
      <c r="BI72" s="369"/>
      <c r="BJ72" s="369"/>
      <c r="BK72" s="369"/>
      <c r="BL72" s="368"/>
      <c r="BM72" s="319">
        <f>SUM(BH72:BL72)</f>
        <v>0</v>
      </c>
      <c r="BN72" s="348">
        <v>1</v>
      </c>
      <c r="BO72" s="318">
        <f>BM72*$G72*BN72</f>
        <v>0</v>
      </c>
      <c r="BP72" s="249"/>
      <c r="BQ72" s="248"/>
      <c r="BR72" s="248"/>
      <c r="BS72" s="248"/>
      <c r="BT72" s="248"/>
      <c r="BU72" s="248"/>
      <c r="BV72" s="247"/>
      <c r="BW72" s="318" t="e">
        <f>BO72*BV$66</f>
        <v>#REF!</v>
      </c>
      <c r="BY72" s="370"/>
      <c r="BZ72" s="369"/>
      <c r="CA72" s="369"/>
      <c r="CB72" s="369"/>
      <c r="CC72" s="368"/>
      <c r="CD72" s="319">
        <f>SUM(BY72:CC72)</f>
        <v>0</v>
      </c>
      <c r="CE72" s="348">
        <v>1</v>
      </c>
      <c r="CF72" s="318">
        <f>CD72*$G72*CE72</f>
        <v>0</v>
      </c>
      <c r="CG72" s="249"/>
      <c r="CH72" s="248"/>
      <c r="CI72" s="248"/>
      <c r="CJ72" s="248"/>
      <c r="CK72" s="248"/>
      <c r="CL72" s="248"/>
      <c r="CM72" s="247"/>
      <c r="CN72" s="318" t="e">
        <f>CF72*CM$66</f>
        <v>#REF!</v>
      </c>
      <c r="CP72" s="6"/>
      <c r="CQ72" s="233">
        <f>SUMIF(I$1:CO$1,1,I72:CO72)</f>
        <v>0</v>
      </c>
      <c r="CR72" s="6"/>
      <c r="CS72" s="233" t="e">
        <f>SUMIF(I$1:CO$1,2,I72:CO72)</f>
        <v>#REF!</v>
      </c>
      <c r="CU72" s="233">
        <f>SUMIF(I$1:CO$1,3,I72:CO72)</f>
        <v>0</v>
      </c>
      <c r="CW72" s="270"/>
      <c r="CX72" s="270"/>
    </row>
    <row r="73" spans="1:102" ht="15" customHeight="1" x14ac:dyDescent="0.25">
      <c r="A73" s="245"/>
      <c r="B73" s="244"/>
      <c r="C73" s="72" t="s">
        <v>455</v>
      </c>
      <c r="D73" s="265" t="s">
        <v>454</v>
      </c>
      <c r="E73" s="72" t="s">
        <v>243</v>
      </c>
      <c r="F73" s="263">
        <f>((6.5*(1.014*1.012*1.015)*1.1/1.11)*1.028)*(1.058)</f>
        <v>7.2970337530468745</v>
      </c>
      <c r="G73" s="262">
        <f>F73*$G$1</f>
        <v>0</v>
      </c>
      <c r="I73" s="172"/>
      <c r="J73" s="294"/>
      <c r="K73" s="294"/>
      <c r="L73" s="294">
        <v>3</v>
      </c>
      <c r="M73" s="322"/>
      <c r="N73" s="321">
        <f>SUM(I73:M73)</f>
        <v>3</v>
      </c>
      <c r="O73" s="348">
        <v>1</v>
      </c>
      <c r="P73" s="318"/>
      <c r="Q73" s="249"/>
      <c r="R73" s="248"/>
      <c r="S73" s="248"/>
      <c r="T73" s="248"/>
      <c r="U73" s="248"/>
      <c r="V73" s="248"/>
      <c r="W73" s="247"/>
      <c r="X73" s="318">
        <f>P73*W$66</f>
        <v>0</v>
      </c>
      <c r="Z73" s="172"/>
      <c r="AA73" s="371"/>
      <c r="AB73" s="171"/>
      <c r="AC73" s="171"/>
      <c r="AD73" s="170"/>
      <c r="AE73" s="321">
        <f>SUM(Z73:AD73)</f>
        <v>0</v>
      </c>
      <c r="AF73" s="348">
        <v>1</v>
      </c>
      <c r="AG73" s="318"/>
      <c r="AH73" s="249"/>
      <c r="AI73" s="248"/>
      <c r="AJ73" s="248"/>
      <c r="AK73" s="248"/>
      <c r="AL73" s="248"/>
      <c r="AM73" s="248"/>
      <c r="AN73" s="247"/>
      <c r="AO73" s="318">
        <f>AG73*AN$66</f>
        <v>0</v>
      </c>
      <c r="AQ73" s="172"/>
      <c r="AR73" s="294"/>
      <c r="AS73" s="294"/>
      <c r="AT73" s="294"/>
      <c r="AU73" s="242"/>
      <c r="AV73" s="317">
        <f>SUM(AQ73:AU73)</f>
        <v>0</v>
      </c>
      <c r="AW73" s="348">
        <v>1</v>
      </c>
      <c r="AX73" s="318"/>
      <c r="AY73" s="249"/>
      <c r="AZ73" s="248"/>
      <c r="BA73" s="248"/>
      <c r="BB73" s="248"/>
      <c r="BC73" s="248"/>
      <c r="BD73" s="248"/>
      <c r="BE73" s="247"/>
      <c r="BF73" s="318"/>
      <c r="BH73" s="370"/>
      <c r="BI73" s="369"/>
      <c r="BJ73" s="369"/>
      <c r="BK73" s="369"/>
      <c r="BL73" s="368"/>
      <c r="BM73" s="319">
        <f>SUM(BH73:BL73)</f>
        <v>0</v>
      </c>
      <c r="BN73" s="348">
        <v>1</v>
      </c>
      <c r="BO73" s="318">
        <f>BM73*$G73*BN73</f>
        <v>0</v>
      </c>
      <c r="BP73" s="249"/>
      <c r="BQ73" s="248"/>
      <c r="BR73" s="248"/>
      <c r="BS73" s="248"/>
      <c r="BT73" s="248"/>
      <c r="BU73" s="248"/>
      <c r="BV73" s="247"/>
      <c r="BW73" s="318" t="e">
        <f>BO73*BV$66</f>
        <v>#REF!</v>
      </c>
      <c r="BY73" s="370"/>
      <c r="BZ73" s="369"/>
      <c r="CA73" s="369"/>
      <c r="CB73" s="369"/>
      <c r="CC73" s="368"/>
      <c r="CD73" s="319">
        <f>SUM(BY73:CC73)</f>
        <v>0</v>
      </c>
      <c r="CE73" s="348">
        <v>1</v>
      </c>
      <c r="CF73" s="318">
        <f>CD73*$G73*CE73</f>
        <v>0</v>
      </c>
      <c r="CG73" s="249"/>
      <c r="CH73" s="248"/>
      <c r="CI73" s="248"/>
      <c r="CJ73" s="248"/>
      <c r="CK73" s="248"/>
      <c r="CL73" s="248"/>
      <c r="CM73" s="247"/>
      <c r="CN73" s="318" t="e">
        <f>CF73*CM$66</f>
        <v>#REF!</v>
      </c>
      <c r="CP73" s="6"/>
      <c r="CQ73" s="233">
        <f>SUMIF(I$1:CO$1,1,I73:CO73)</f>
        <v>0</v>
      </c>
      <c r="CR73" s="6"/>
      <c r="CS73" s="233" t="e">
        <f>SUMIF(I$1:CO$1,2,I73:CO73)</f>
        <v>#REF!</v>
      </c>
      <c r="CU73" s="233">
        <f>SUMIF(I$1:CO$1,3,I73:CO73)</f>
        <v>0</v>
      </c>
      <c r="CW73" s="270"/>
      <c r="CX73" s="270"/>
    </row>
    <row r="74" spans="1:102" ht="15" customHeight="1" x14ac:dyDescent="0.25">
      <c r="A74" s="245"/>
      <c r="B74" s="244"/>
      <c r="C74" s="72" t="s">
        <v>453</v>
      </c>
      <c r="D74" s="265" t="s">
        <v>452</v>
      </c>
      <c r="E74" s="72" t="s">
        <v>243</v>
      </c>
      <c r="F74" s="263">
        <f>((5.2*(1.014*1.012*1.015)*1.1/1.11)*1.028)*(1.058)</f>
        <v>5.8376270024374994</v>
      </c>
      <c r="G74" s="262">
        <f>F74*$G$1</f>
        <v>0</v>
      </c>
      <c r="I74" s="172"/>
      <c r="J74" s="294"/>
      <c r="K74" s="294">
        <v>3</v>
      </c>
      <c r="L74" s="294"/>
      <c r="M74" s="322"/>
      <c r="N74" s="321">
        <f>SUM(I74:M74)</f>
        <v>3</v>
      </c>
      <c r="O74" s="348">
        <v>1</v>
      </c>
      <c r="P74" s="318"/>
      <c r="Q74" s="249"/>
      <c r="R74" s="248"/>
      <c r="S74" s="248"/>
      <c r="T74" s="248"/>
      <c r="U74" s="248"/>
      <c r="V74" s="248"/>
      <c r="W74" s="247"/>
      <c r="X74" s="318">
        <f>P74*W$66</f>
        <v>0</v>
      </c>
      <c r="Z74" s="172">
        <v>4</v>
      </c>
      <c r="AA74" s="371"/>
      <c r="AB74" s="171">
        <v>4</v>
      </c>
      <c r="AC74" s="171"/>
      <c r="AD74" s="170">
        <v>4</v>
      </c>
      <c r="AE74" s="321">
        <f>SUM(Z74:AD74)</f>
        <v>12</v>
      </c>
      <c r="AF74" s="348">
        <v>1</v>
      </c>
      <c r="AG74" s="318"/>
      <c r="AH74" s="249"/>
      <c r="AI74" s="248"/>
      <c r="AJ74" s="248"/>
      <c r="AK74" s="248"/>
      <c r="AL74" s="248"/>
      <c r="AM74" s="248"/>
      <c r="AN74" s="247"/>
      <c r="AO74" s="318">
        <f>AG74*AN$66</f>
        <v>0</v>
      </c>
      <c r="AQ74" s="172"/>
      <c r="AR74" s="294"/>
      <c r="AS74" s="294"/>
      <c r="AT74" s="294"/>
      <c r="AU74" s="242"/>
      <c r="AV74" s="317">
        <f>SUM(AQ74:AU74)</f>
        <v>0</v>
      </c>
      <c r="AW74" s="348">
        <v>1</v>
      </c>
      <c r="AX74" s="318"/>
      <c r="AY74" s="249"/>
      <c r="AZ74" s="248"/>
      <c r="BA74" s="248"/>
      <c r="BB74" s="248"/>
      <c r="BC74" s="248"/>
      <c r="BD74" s="248"/>
      <c r="BE74" s="247"/>
      <c r="BF74" s="318"/>
      <c r="BH74" s="370"/>
      <c r="BI74" s="369"/>
      <c r="BJ74" s="369"/>
      <c r="BK74" s="369"/>
      <c r="BL74" s="368"/>
      <c r="BM74" s="319">
        <f>SUM(BH74:BL74)</f>
        <v>0</v>
      </c>
      <c r="BN74" s="348">
        <v>1</v>
      </c>
      <c r="BO74" s="318">
        <f>BM74*$G74*BN74</f>
        <v>0</v>
      </c>
      <c r="BP74" s="249"/>
      <c r="BQ74" s="248"/>
      <c r="BR74" s="248"/>
      <c r="BS74" s="248"/>
      <c r="BT74" s="248"/>
      <c r="BU74" s="248"/>
      <c r="BV74" s="247"/>
      <c r="BW74" s="318" t="e">
        <f>BO74*BV$66</f>
        <v>#REF!</v>
      </c>
      <c r="BY74" s="370"/>
      <c r="BZ74" s="369"/>
      <c r="CA74" s="369"/>
      <c r="CB74" s="369"/>
      <c r="CC74" s="368"/>
      <c r="CD74" s="319">
        <f>SUM(BY74:CC74)</f>
        <v>0</v>
      </c>
      <c r="CE74" s="348">
        <v>1</v>
      </c>
      <c r="CF74" s="318">
        <f>CD74*$G74*CE74</f>
        <v>0</v>
      </c>
      <c r="CG74" s="249"/>
      <c r="CH74" s="248"/>
      <c r="CI74" s="248"/>
      <c r="CJ74" s="248"/>
      <c r="CK74" s="248"/>
      <c r="CL74" s="248"/>
      <c r="CM74" s="247"/>
      <c r="CN74" s="318" t="e">
        <f>CF74*CM$66</f>
        <v>#REF!</v>
      </c>
      <c r="CP74" s="6"/>
      <c r="CQ74" s="233">
        <f>SUMIF(I$1:CO$1,1,I74:CO74)</f>
        <v>0</v>
      </c>
      <c r="CR74" s="6"/>
      <c r="CS74" s="233" t="e">
        <f>SUMIF(I$1:CO$1,2,I74:CO74)</f>
        <v>#REF!</v>
      </c>
      <c r="CU74" s="233">
        <f>SUMIF(I$1:CO$1,3,I74:CO74)</f>
        <v>12</v>
      </c>
      <c r="CW74" s="270"/>
      <c r="CX74" s="270"/>
    </row>
    <row r="75" spans="1:102" ht="15" customHeight="1" x14ac:dyDescent="0.25">
      <c r="A75" s="245"/>
      <c r="B75" s="244"/>
      <c r="C75" s="72" t="s">
        <v>451</v>
      </c>
      <c r="D75" s="265" t="s">
        <v>450</v>
      </c>
      <c r="E75" s="72" t="s">
        <v>243</v>
      </c>
      <c r="F75" s="263">
        <f>((3.9*(1.014*1.012*1.015)*1.1/1.11)*1.028)*(1.058)</f>
        <v>4.3782202518281244</v>
      </c>
      <c r="G75" s="262">
        <f>F75*$G$1</f>
        <v>0</v>
      </c>
      <c r="I75" s="172"/>
      <c r="J75" s="294"/>
      <c r="K75" s="294"/>
      <c r="L75" s="294">
        <v>2</v>
      </c>
      <c r="M75" s="322"/>
      <c r="N75" s="321">
        <f>SUM(I75:M75)</f>
        <v>2</v>
      </c>
      <c r="O75" s="348">
        <v>1</v>
      </c>
      <c r="P75" s="318"/>
      <c r="Q75" s="249"/>
      <c r="R75" s="248"/>
      <c r="S75" s="248"/>
      <c r="T75" s="248"/>
      <c r="U75" s="248"/>
      <c r="V75" s="248"/>
      <c r="W75" s="247"/>
      <c r="X75" s="318">
        <f>P75*W$66</f>
        <v>0</v>
      </c>
      <c r="Z75" s="172">
        <v>7</v>
      </c>
      <c r="AA75" s="371"/>
      <c r="AB75" s="171">
        <v>2</v>
      </c>
      <c r="AC75" s="171"/>
      <c r="AD75" s="170">
        <v>8</v>
      </c>
      <c r="AE75" s="321">
        <f>SUM(Z75:AD75)</f>
        <v>17</v>
      </c>
      <c r="AF75" s="348">
        <v>1</v>
      </c>
      <c r="AG75" s="318"/>
      <c r="AH75" s="249"/>
      <c r="AI75" s="248"/>
      <c r="AJ75" s="248"/>
      <c r="AK75" s="248"/>
      <c r="AL75" s="248"/>
      <c r="AM75" s="248"/>
      <c r="AN75" s="247"/>
      <c r="AO75" s="318">
        <f>AG75*AN$66</f>
        <v>0</v>
      </c>
      <c r="AQ75" s="172"/>
      <c r="AR75" s="294"/>
      <c r="AS75" s="294"/>
      <c r="AT75" s="294"/>
      <c r="AU75" s="242"/>
      <c r="AV75" s="317">
        <f>SUM(AQ75:AU75)</f>
        <v>0</v>
      </c>
      <c r="AW75" s="348">
        <v>1</v>
      </c>
      <c r="AX75" s="318"/>
      <c r="AY75" s="249"/>
      <c r="AZ75" s="248"/>
      <c r="BA75" s="248"/>
      <c r="BB75" s="248"/>
      <c r="BC75" s="248"/>
      <c r="BD75" s="248"/>
      <c r="BE75" s="247"/>
      <c r="BF75" s="318"/>
      <c r="BH75" s="370"/>
      <c r="BI75" s="369"/>
      <c r="BJ75" s="369"/>
      <c r="BK75" s="369"/>
      <c r="BL75" s="368"/>
      <c r="BM75" s="319">
        <f>SUM(BH75:BL75)</f>
        <v>0</v>
      </c>
      <c r="BN75" s="348">
        <v>1</v>
      </c>
      <c r="BO75" s="318">
        <f>BM75*$G75*BN75</f>
        <v>0</v>
      </c>
      <c r="BP75" s="249"/>
      <c r="BQ75" s="248"/>
      <c r="BR75" s="248"/>
      <c r="BS75" s="248"/>
      <c r="BT75" s="248"/>
      <c r="BU75" s="248"/>
      <c r="BV75" s="247"/>
      <c r="BW75" s="318" t="e">
        <f>BO75*BV$66</f>
        <v>#REF!</v>
      </c>
      <c r="BY75" s="370"/>
      <c r="BZ75" s="369"/>
      <c r="CA75" s="369"/>
      <c r="CB75" s="369"/>
      <c r="CC75" s="368"/>
      <c r="CD75" s="319">
        <f>SUM(BY75:CC75)</f>
        <v>0</v>
      </c>
      <c r="CE75" s="348">
        <v>1</v>
      </c>
      <c r="CF75" s="318">
        <f>CD75*$G75*CE75</f>
        <v>0</v>
      </c>
      <c r="CG75" s="249"/>
      <c r="CH75" s="248"/>
      <c r="CI75" s="248"/>
      <c r="CJ75" s="248"/>
      <c r="CK75" s="248"/>
      <c r="CL75" s="248"/>
      <c r="CM75" s="247"/>
      <c r="CN75" s="318" t="e">
        <f>CF75*CM$66</f>
        <v>#REF!</v>
      </c>
      <c r="CP75" s="6"/>
      <c r="CQ75" s="233">
        <f>SUMIF(I$1:CO$1,1,I75:CO75)</f>
        <v>0</v>
      </c>
      <c r="CR75" s="6"/>
      <c r="CS75" s="233" t="e">
        <f>SUMIF(I$1:CO$1,2,I75:CO75)</f>
        <v>#REF!</v>
      </c>
      <c r="CU75" s="233">
        <f>SUMIF(I$1:CO$1,3,I75:CO75)</f>
        <v>17</v>
      </c>
      <c r="CW75" s="270"/>
      <c r="CX75" s="270"/>
    </row>
    <row r="76" spans="1:102" ht="15" customHeight="1" x14ac:dyDescent="0.25">
      <c r="A76" s="245"/>
      <c r="B76" s="244"/>
      <c r="C76" s="72" t="s">
        <v>449</v>
      </c>
      <c r="D76" s="265" t="s">
        <v>448</v>
      </c>
      <c r="E76" s="72" t="s">
        <v>243</v>
      </c>
      <c r="F76" s="263">
        <f>((3.3*(1.014*1.012*1.015)*1.1/1.11)*1.028)*(1.058)</f>
        <v>3.7046479053930286</v>
      </c>
      <c r="G76" s="262">
        <f>F76*$G$1</f>
        <v>0</v>
      </c>
      <c r="I76" s="172"/>
      <c r="J76" s="294"/>
      <c r="K76" s="294"/>
      <c r="L76" s="294"/>
      <c r="M76" s="322"/>
      <c r="N76" s="321">
        <f>SUM(I76:M76)</f>
        <v>0</v>
      </c>
      <c r="O76" s="348">
        <v>1</v>
      </c>
      <c r="P76" s="318"/>
      <c r="Q76" s="249"/>
      <c r="R76" s="248"/>
      <c r="S76" s="248"/>
      <c r="T76" s="248"/>
      <c r="U76" s="248"/>
      <c r="V76" s="248"/>
      <c r="W76" s="247"/>
      <c r="X76" s="318">
        <f>P76*W$66</f>
        <v>0</v>
      </c>
      <c r="Z76" s="172"/>
      <c r="AA76" s="371"/>
      <c r="AB76" s="171"/>
      <c r="AC76" s="171"/>
      <c r="AD76" s="170"/>
      <c r="AE76" s="321">
        <f>SUM(Z76:AD76)</f>
        <v>0</v>
      </c>
      <c r="AF76" s="348">
        <v>1</v>
      </c>
      <c r="AG76" s="318"/>
      <c r="AH76" s="249"/>
      <c r="AI76" s="248"/>
      <c r="AJ76" s="248"/>
      <c r="AK76" s="248"/>
      <c r="AL76" s="248"/>
      <c r="AM76" s="248"/>
      <c r="AN76" s="247"/>
      <c r="AO76" s="318">
        <f>AG76*AN$66</f>
        <v>0</v>
      </c>
      <c r="AQ76" s="172"/>
      <c r="AR76" s="294"/>
      <c r="AS76" s="294"/>
      <c r="AT76" s="294"/>
      <c r="AU76" s="242"/>
      <c r="AV76" s="317">
        <f>SUM(AQ76:AU76)</f>
        <v>0</v>
      </c>
      <c r="AW76" s="348">
        <v>1</v>
      </c>
      <c r="AX76" s="318"/>
      <c r="AY76" s="249"/>
      <c r="AZ76" s="248"/>
      <c r="BA76" s="248"/>
      <c r="BB76" s="248"/>
      <c r="BC76" s="248"/>
      <c r="BD76" s="248"/>
      <c r="BE76" s="247"/>
      <c r="BF76" s="318"/>
      <c r="BH76" s="370"/>
      <c r="BI76" s="369"/>
      <c r="BJ76" s="369"/>
      <c r="BK76" s="369"/>
      <c r="BL76" s="368"/>
      <c r="BM76" s="319">
        <f>SUM(BH76:BL76)</f>
        <v>0</v>
      </c>
      <c r="BN76" s="348">
        <v>1</v>
      </c>
      <c r="BO76" s="318">
        <f>BM76*$G76*BN76</f>
        <v>0</v>
      </c>
      <c r="BP76" s="249"/>
      <c r="BQ76" s="248"/>
      <c r="BR76" s="248"/>
      <c r="BS76" s="248"/>
      <c r="BT76" s="248"/>
      <c r="BU76" s="248"/>
      <c r="BV76" s="247"/>
      <c r="BW76" s="318" t="e">
        <f>BO76*BV$66</f>
        <v>#REF!</v>
      </c>
      <c r="BY76" s="370"/>
      <c r="BZ76" s="369"/>
      <c r="CA76" s="369"/>
      <c r="CB76" s="369"/>
      <c r="CC76" s="368"/>
      <c r="CD76" s="319">
        <f>SUM(BY76:CC76)</f>
        <v>0</v>
      </c>
      <c r="CE76" s="348">
        <v>1</v>
      </c>
      <c r="CF76" s="318">
        <f>CD76*$G76*CE76</f>
        <v>0</v>
      </c>
      <c r="CG76" s="249"/>
      <c r="CH76" s="248"/>
      <c r="CI76" s="248"/>
      <c r="CJ76" s="248"/>
      <c r="CK76" s="248"/>
      <c r="CL76" s="248"/>
      <c r="CM76" s="247"/>
      <c r="CN76" s="318" t="e">
        <f>CF76*CM$66</f>
        <v>#REF!</v>
      </c>
      <c r="CP76" s="6"/>
      <c r="CQ76" s="233">
        <f>SUMIF(I$1:CO$1,1,I76:CO76)</f>
        <v>0</v>
      </c>
      <c r="CR76" s="6"/>
      <c r="CS76" s="233" t="e">
        <f>SUMIF(I$1:CO$1,2,I76:CO76)</f>
        <v>#REF!</v>
      </c>
      <c r="CU76" s="233">
        <f>SUMIF(I$1:CO$1,3,I76:CO76)</f>
        <v>0</v>
      </c>
      <c r="CW76" s="270"/>
      <c r="CX76" s="270"/>
    </row>
    <row r="77" spans="1:102" ht="15" customHeight="1" x14ac:dyDescent="0.25">
      <c r="A77" s="245"/>
      <c r="B77" s="244"/>
      <c r="C77" s="72" t="s">
        <v>447</v>
      </c>
      <c r="D77" s="265" t="s">
        <v>446</v>
      </c>
      <c r="E77" s="72" t="s">
        <v>243</v>
      </c>
      <c r="F77" s="263">
        <f>((3.1*(1.014*1.012*1.015)*1.1/1.11)*1.028)*(1.058)</f>
        <v>3.4801237899146638</v>
      </c>
      <c r="G77" s="262">
        <f>F77*$G$1</f>
        <v>0</v>
      </c>
      <c r="I77" s="172"/>
      <c r="J77" s="294"/>
      <c r="K77" s="294"/>
      <c r="L77" s="294">
        <v>1</v>
      </c>
      <c r="M77" s="322"/>
      <c r="N77" s="321">
        <f>SUM(I77:M77)</f>
        <v>1</v>
      </c>
      <c r="O77" s="348">
        <v>1</v>
      </c>
      <c r="P77" s="318"/>
      <c r="Q77" s="249"/>
      <c r="R77" s="248"/>
      <c r="S77" s="248"/>
      <c r="T77" s="248"/>
      <c r="U77" s="248"/>
      <c r="V77" s="248"/>
      <c r="W77" s="247"/>
      <c r="X77" s="318">
        <f>P77*W$66</f>
        <v>0</v>
      </c>
      <c r="Z77" s="172"/>
      <c r="AA77" s="371"/>
      <c r="AB77" s="171"/>
      <c r="AC77" s="171"/>
      <c r="AD77" s="170"/>
      <c r="AE77" s="321">
        <f>SUM(Z77:AD77)</f>
        <v>0</v>
      </c>
      <c r="AF77" s="348">
        <v>1</v>
      </c>
      <c r="AG77" s="318"/>
      <c r="AH77" s="249"/>
      <c r="AI77" s="248"/>
      <c r="AJ77" s="248"/>
      <c r="AK77" s="248"/>
      <c r="AL77" s="248"/>
      <c r="AM77" s="248"/>
      <c r="AN77" s="247"/>
      <c r="AO77" s="318">
        <f>AG77*AN$66</f>
        <v>0</v>
      </c>
      <c r="AQ77" s="172"/>
      <c r="AR77" s="294"/>
      <c r="AS77" s="294"/>
      <c r="AT77" s="294"/>
      <c r="AU77" s="242"/>
      <c r="AV77" s="317">
        <f>SUM(AQ77:AU77)</f>
        <v>0</v>
      </c>
      <c r="AW77" s="348">
        <v>1</v>
      </c>
      <c r="AX77" s="318"/>
      <c r="AY77" s="249"/>
      <c r="AZ77" s="248"/>
      <c r="BA77" s="248"/>
      <c r="BB77" s="248"/>
      <c r="BC77" s="248"/>
      <c r="BD77" s="248"/>
      <c r="BE77" s="247"/>
      <c r="BF77" s="318"/>
      <c r="BH77" s="370"/>
      <c r="BI77" s="388"/>
      <c r="BJ77" s="388"/>
      <c r="BK77" s="369"/>
      <c r="BL77" s="368"/>
      <c r="BM77" s="319">
        <f>SUM(BH77:BL77)</f>
        <v>0</v>
      </c>
      <c r="BN77" s="348">
        <v>1</v>
      </c>
      <c r="BO77" s="318">
        <f>BM77*$G77*BN77</f>
        <v>0</v>
      </c>
      <c r="BP77" s="249"/>
      <c r="BQ77" s="248"/>
      <c r="BR77" s="248"/>
      <c r="BS77" s="248"/>
      <c r="BT77" s="248"/>
      <c r="BU77" s="248"/>
      <c r="BV77" s="247"/>
      <c r="BW77" s="318" t="e">
        <f>BO77*BV$66</f>
        <v>#REF!</v>
      </c>
      <c r="BY77" s="370"/>
      <c r="BZ77" s="388"/>
      <c r="CA77" s="388"/>
      <c r="CB77" s="369"/>
      <c r="CC77" s="368"/>
      <c r="CD77" s="319">
        <f>SUM(BY77:CC77)</f>
        <v>0</v>
      </c>
      <c r="CE77" s="348">
        <v>1</v>
      </c>
      <c r="CF77" s="318">
        <f>CD77*$G77*CE77</f>
        <v>0</v>
      </c>
      <c r="CG77" s="249"/>
      <c r="CH77" s="248"/>
      <c r="CI77" s="248"/>
      <c r="CJ77" s="248"/>
      <c r="CK77" s="248"/>
      <c r="CL77" s="248"/>
      <c r="CM77" s="247"/>
      <c r="CN77" s="318" t="e">
        <f>CF77*CM$66</f>
        <v>#REF!</v>
      </c>
      <c r="CP77" s="6"/>
      <c r="CQ77" s="233">
        <f>SUMIF(I$1:CO$1,1,I77:CO77)</f>
        <v>0</v>
      </c>
      <c r="CR77" s="6"/>
      <c r="CS77" s="233" t="e">
        <f>SUMIF(I$1:CO$1,2,I77:CO77)</f>
        <v>#REF!</v>
      </c>
      <c r="CU77" s="233">
        <f>SUMIF(I$1:CO$1,3,I77:CO77)</f>
        <v>0</v>
      </c>
      <c r="CW77" s="270"/>
      <c r="CX77" s="270"/>
    </row>
    <row r="78" spans="1:102" ht="15" customHeight="1" x14ac:dyDescent="0.25">
      <c r="A78" s="245"/>
      <c r="B78" s="244"/>
      <c r="C78" s="72" t="s">
        <v>445</v>
      </c>
      <c r="D78" s="265" t="s">
        <v>444</v>
      </c>
      <c r="E78" s="72" t="s">
        <v>243</v>
      </c>
      <c r="F78" s="263">
        <f>((2.7*(1.014*1.012*1.015)*1.1/1.11)*1.028)*(1.058)</f>
        <v>3.0310755589579328</v>
      </c>
      <c r="G78" s="262">
        <f>F78*$G$1</f>
        <v>0</v>
      </c>
      <c r="I78" s="172"/>
      <c r="J78" s="294"/>
      <c r="K78" s="294"/>
      <c r="L78" s="294"/>
      <c r="M78" s="322"/>
      <c r="N78" s="321">
        <f>SUM(I78:M78)</f>
        <v>0</v>
      </c>
      <c r="O78" s="348">
        <v>1</v>
      </c>
      <c r="P78" s="318"/>
      <c r="Q78" s="249"/>
      <c r="R78" s="248"/>
      <c r="S78" s="248"/>
      <c r="T78" s="248"/>
      <c r="U78" s="248"/>
      <c r="V78" s="248"/>
      <c r="W78" s="247"/>
      <c r="X78" s="318">
        <f>P78*W$66</f>
        <v>0</v>
      </c>
      <c r="Z78" s="172">
        <v>1</v>
      </c>
      <c r="AA78" s="371"/>
      <c r="AB78" s="171">
        <v>1</v>
      </c>
      <c r="AC78" s="171"/>
      <c r="AD78" s="170"/>
      <c r="AE78" s="321">
        <f>SUM(Z78:AD78)</f>
        <v>2</v>
      </c>
      <c r="AF78" s="348">
        <v>1</v>
      </c>
      <c r="AG78" s="318"/>
      <c r="AH78" s="249"/>
      <c r="AI78" s="248"/>
      <c r="AJ78" s="248"/>
      <c r="AK78" s="248"/>
      <c r="AL78" s="248"/>
      <c r="AM78" s="248"/>
      <c r="AN78" s="247"/>
      <c r="AO78" s="318">
        <f>AG78*AN$66</f>
        <v>0</v>
      </c>
      <c r="AQ78" s="172"/>
      <c r="AR78" s="294"/>
      <c r="AS78" s="294"/>
      <c r="AT78" s="294"/>
      <c r="AU78" s="242"/>
      <c r="AV78" s="317">
        <f>SUM(AQ78:AU78)</f>
        <v>0</v>
      </c>
      <c r="AW78" s="348">
        <v>1</v>
      </c>
      <c r="AX78" s="318"/>
      <c r="AY78" s="249"/>
      <c r="AZ78" s="248"/>
      <c r="BA78" s="248"/>
      <c r="BB78" s="248"/>
      <c r="BC78" s="248"/>
      <c r="BD78" s="248"/>
      <c r="BE78" s="247"/>
      <c r="BF78" s="318"/>
      <c r="BH78" s="370"/>
      <c r="BI78" s="369"/>
      <c r="BJ78" s="369"/>
      <c r="BK78" s="369"/>
      <c r="BL78" s="368"/>
      <c r="BM78" s="319">
        <f>SUM(BH78:BL78)</f>
        <v>0</v>
      </c>
      <c r="BN78" s="348">
        <v>1</v>
      </c>
      <c r="BO78" s="318">
        <f>BM78*$G78*BN78</f>
        <v>0</v>
      </c>
      <c r="BP78" s="249"/>
      <c r="BQ78" s="248"/>
      <c r="BR78" s="248"/>
      <c r="BS78" s="248"/>
      <c r="BT78" s="248"/>
      <c r="BU78" s="248"/>
      <c r="BV78" s="247"/>
      <c r="BW78" s="318" t="e">
        <f>BO78*BV$66</f>
        <v>#REF!</v>
      </c>
      <c r="BY78" s="370"/>
      <c r="BZ78" s="369"/>
      <c r="CA78" s="369"/>
      <c r="CB78" s="369"/>
      <c r="CC78" s="368"/>
      <c r="CD78" s="319">
        <f>SUM(BY78:CC78)</f>
        <v>0</v>
      </c>
      <c r="CE78" s="348">
        <v>1</v>
      </c>
      <c r="CF78" s="318">
        <f>CD78*$G78*CE78</f>
        <v>0</v>
      </c>
      <c r="CG78" s="249"/>
      <c r="CH78" s="248"/>
      <c r="CI78" s="248"/>
      <c r="CJ78" s="248"/>
      <c r="CK78" s="248"/>
      <c r="CL78" s="248"/>
      <c r="CM78" s="247"/>
      <c r="CN78" s="318" t="e">
        <f>CF78*CM$66</f>
        <v>#REF!</v>
      </c>
      <c r="CP78" s="6"/>
      <c r="CQ78" s="233">
        <f>SUMIF(I$1:CO$1,1,I78:CO78)</f>
        <v>0</v>
      </c>
      <c r="CR78" s="6"/>
      <c r="CS78" s="233" t="e">
        <f>SUMIF(I$1:CO$1,2,I78:CO78)</f>
        <v>#REF!</v>
      </c>
      <c r="CU78" s="233">
        <f>SUMIF(I$1:CO$1,3,I78:CO78)</f>
        <v>2</v>
      </c>
      <c r="CW78" s="270"/>
      <c r="CX78" s="270"/>
    </row>
    <row r="79" spans="1:102" ht="15" customHeight="1" x14ac:dyDescent="0.25">
      <c r="A79" s="245"/>
      <c r="B79" s="244"/>
      <c r="C79" s="72" t="s">
        <v>443</v>
      </c>
      <c r="D79" s="265" t="s">
        <v>442</v>
      </c>
      <c r="E79" s="72" t="s">
        <v>243</v>
      </c>
      <c r="F79" s="263">
        <f>((2.35*(1.014*1.012*1.015)*1.1/1.11)*1.028)*(1.058)</f>
        <v>2.6381583568707931</v>
      </c>
      <c r="G79" s="262">
        <f>F79*$G$1</f>
        <v>0</v>
      </c>
      <c r="I79" s="172"/>
      <c r="J79" s="294"/>
      <c r="K79" s="294"/>
      <c r="L79" s="294"/>
      <c r="M79" s="322"/>
      <c r="N79" s="321">
        <f>SUM(I79:M79)</f>
        <v>0</v>
      </c>
      <c r="O79" s="348">
        <v>1</v>
      </c>
      <c r="P79" s="318"/>
      <c r="Q79" s="249"/>
      <c r="R79" s="248"/>
      <c r="S79" s="248"/>
      <c r="T79" s="248"/>
      <c r="U79" s="248"/>
      <c r="V79" s="248"/>
      <c r="W79" s="247"/>
      <c r="X79" s="318">
        <f>P79*W$66</f>
        <v>0</v>
      </c>
      <c r="Z79" s="172"/>
      <c r="AA79" s="371"/>
      <c r="AB79" s="171"/>
      <c r="AC79" s="171"/>
      <c r="AD79" s="170"/>
      <c r="AE79" s="321">
        <f>SUM(Z79:AD79)</f>
        <v>0</v>
      </c>
      <c r="AF79" s="348">
        <v>1</v>
      </c>
      <c r="AG79" s="318"/>
      <c r="AH79" s="249"/>
      <c r="AI79" s="248"/>
      <c r="AJ79" s="248"/>
      <c r="AK79" s="248"/>
      <c r="AL79" s="248"/>
      <c r="AM79" s="248"/>
      <c r="AN79" s="247"/>
      <c r="AO79" s="318">
        <f>AG79*AN$66</f>
        <v>0</v>
      </c>
      <c r="AQ79" s="172"/>
      <c r="AR79" s="294"/>
      <c r="AS79" s="294"/>
      <c r="AT79" s="294"/>
      <c r="AU79" s="242"/>
      <c r="AV79" s="317">
        <f>SUM(AQ79:AU79)</f>
        <v>0</v>
      </c>
      <c r="AW79" s="348">
        <v>1</v>
      </c>
      <c r="AX79" s="318"/>
      <c r="AY79" s="249"/>
      <c r="AZ79" s="248"/>
      <c r="BA79" s="248"/>
      <c r="BB79" s="248"/>
      <c r="BC79" s="248"/>
      <c r="BD79" s="248"/>
      <c r="BE79" s="247"/>
      <c r="BF79" s="318"/>
      <c r="BH79" s="370"/>
      <c r="BI79" s="369"/>
      <c r="BJ79" s="369"/>
      <c r="BK79" s="369"/>
      <c r="BL79" s="368"/>
      <c r="BM79" s="319">
        <f>SUM(BH79:BL79)</f>
        <v>0</v>
      </c>
      <c r="BN79" s="348">
        <v>1</v>
      </c>
      <c r="BO79" s="318">
        <f>BM79*$G79*BN79</f>
        <v>0</v>
      </c>
      <c r="BP79" s="249"/>
      <c r="BQ79" s="248"/>
      <c r="BR79" s="248"/>
      <c r="BS79" s="248"/>
      <c r="BT79" s="248"/>
      <c r="BU79" s="248"/>
      <c r="BV79" s="247"/>
      <c r="BW79" s="318" t="e">
        <f>BO79*BV$66</f>
        <v>#REF!</v>
      </c>
      <c r="BY79" s="370"/>
      <c r="BZ79" s="369"/>
      <c r="CA79" s="369"/>
      <c r="CB79" s="369"/>
      <c r="CC79" s="368"/>
      <c r="CD79" s="319">
        <f>SUM(BY79:CC79)</f>
        <v>0</v>
      </c>
      <c r="CE79" s="348">
        <v>1</v>
      </c>
      <c r="CF79" s="318">
        <f>CD79*$G79*CE79</f>
        <v>0</v>
      </c>
      <c r="CG79" s="249"/>
      <c r="CH79" s="248"/>
      <c r="CI79" s="248"/>
      <c r="CJ79" s="248"/>
      <c r="CK79" s="248"/>
      <c r="CL79" s="248"/>
      <c r="CM79" s="247"/>
      <c r="CN79" s="318" t="e">
        <f>CF79*CM$66</f>
        <v>#REF!</v>
      </c>
      <c r="CP79" s="6"/>
      <c r="CQ79" s="233">
        <f>SUMIF(I$1:CO$1,1,I79:CO79)</f>
        <v>0</v>
      </c>
      <c r="CR79" s="6"/>
      <c r="CS79" s="233" t="e">
        <f>SUMIF(I$1:CO$1,2,I79:CO79)</f>
        <v>#REF!</v>
      </c>
      <c r="CU79" s="233">
        <f>SUMIF(I$1:CO$1,3,I79:CO79)</f>
        <v>0</v>
      </c>
      <c r="CW79" s="270"/>
      <c r="CX79" s="270"/>
    </row>
    <row r="80" spans="1:102" ht="15" customHeight="1" x14ac:dyDescent="0.25">
      <c r="A80" s="245"/>
      <c r="B80" s="244"/>
      <c r="C80" s="72" t="s">
        <v>441</v>
      </c>
      <c r="D80" s="265" t="s">
        <v>440</v>
      </c>
      <c r="E80" s="72" t="s">
        <v>243</v>
      </c>
      <c r="F80" s="263">
        <f>((6.4*(1.014*1.012*1.015)*1.1/1.11)*1.028)*(1.058)</f>
        <v>7.1847716953076928</v>
      </c>
      <c r="G80" s="262">
        <f>F80*$G$1</f>
        <v>0</v>
      </c>
      <c r="I80" s="172"/>
      <c r="J80" s="294"/>
      <c r="K80" s="294"/>
      <c r="L80" s="294"/>
      <c r="M80" s="322"/>
      <c r="N80" s="321">
        <f>SUM(I80:M80)</f>
        <v>0</v>
      </c>
      <c r="O80" s="348">
        <v>1</v>
      </c>
      <c r="P80" s="318"/>
      <c r="Q80" s="249"/>
      <c r="R80" s="248"/>
      <c r="S80" s="248"/>
      <c r="T80" s="248"/>
      <c r="U80" s="248"/>
      <c r="V80" s="248"/>
      <c r="W80" s="247"/>
      <c r="X80" s="318">
        <f>P80*W$66</f>
        <v>0</v>
      </c>
      <c r="Z80" s="172"/>
      <c r="AA80" s="371"/>
      <c r="AB80" s="171"/>
      <c r="AC80" s="171"/>
      <c r="AD80" s="170"/>
      <c r="AE80" s="321">
        <f>SUM(Z80:AD80)</f>
        <v>0</v>
      </c>
      <c r="AF80" s="348">
        <v>1</v>
      </c>
      <c r="AG80" s="318"/>
      <c r="AH80" s="249"/>
      <c r="AI80" s="248"/>
      <c r="AJ80" s="248"/>
      <c r="AK80" s="248"/>
      <c r="AL80" s="248"/>
      <c r="AM80" s="248"/>
      <c r="AN80" s="247"/>
      <c r="AO80" s="318">
        <f>AG80*AN$66</f>
        <v>0</v>
      </c>
      <c r="AQ80" s="172"/>
      <c r="AR80" s="294"/>
      <c r="AS80" s="294"/>
      <c r="AT80" s="294"/>
      <c r="AU80" s="242"/>
      <c r="AV80" s="317">
        <f>SUM(AQ80:AU80)</f>
        <v>0</v>
      </c>
      <c r="AW80" s="348">
        <v>1</v>
      </c>
      <c r="AX80" s="318"/>
      <c r="AY80" s="249"/>
      <c r="AZ80" s="248"/>
      <c r="BA80" s="248"/>
      <c r="BB80" s="248"/>
      <c r="BC80" s="248"/>
      <c r="BD80" s="248"/>
      <c r="BE80" s="247"/>
      <c r="BF80" s="318"/>
      <c r="BH80" s="370"/>
      <c r="BI80" s="369"/>
      <c r="BJ80" s="369"/>
      <c r="BK80" s="369"/>
      <c r="BL80" s="368"/>
      <c r="BM80" s="319">
        <f>SUM(BH80:BL80)</f>
        <v>0</v>
      </c>
      <c r="BN80" s="348">
        <v>1</v>
      </c>
      <c r="BO80" s="318">
        <f>BM80*$G80*BN80</f>
        <v>0</v>
      </c>
      <c r="BP80" s="249"/>
      <c r="BQ80" s="248"/>
      <c r="BR80" s="248"/>
      <c r="BS80" s="248"/>
      <c r="BT80" s="248"/>
      <c r="BU80" s="248"/>
      <c r="BV80" s="247"/>
      <c r="BW80" s="318" t="e">
        <f>BO80*BV$66</f>
        <v>#REF!</v>
      </c>
      <c r="BY80" s="370"/>
      <c r="BZ80" s="369"/>
      <c r="CA80" s="369"/>
      <c r="CB80" s="369"/>
      <c r="CC80" s="368"/>
      <c r="CD80" s="319">
        <f>SUM(BY80:CC80)</f>
        <v>0</v>
      </c>
      <c r="CE80" s="348">
        <v>1</v>
      </c>
      <c r="CF80" s="318">
        <f>CD80*$G80*CE80</f>
        <v>0</v>
      </c>
      <c r="CG80" s="249"/>
      <c r="CH80" s="248"/>
      <c r="CI80" s="248"/>
      <c r="CJ80" s="248"/>
      <c r="CK80" s="248"/>
      <c r="CL80" s="248"/>
      <c r="CM80" s="247"/>
      <c r="CN80" s="318" t="e">
        <f>CF80*CM$66</f>
        <v>#REF!</v>
      </c>
      <c r="CP80" s="6"/>
      <c r="CQ80" s="233">
        <f>SUMIF(I$1:CO$1,1,I80:CO80)</f>
        <v>0</v>
      </c>
      <c r="CR80" s="6"/>
      <c r="CS80" s="233" t="e">
        <f>SUMIF(I$1:CO$1,2,I80:CO80)</f>
        <v>#REF!</v>
      </c>
      <c r="CU80" s="233">
        <f>SUMIF(I$1:CO$1,3,I80:CO80)</f>
        <v>0</v>
      </c>
      <c r="CW80" s="270"/>
      <c r="CX80" s="270"/>
    </row>
    <row r="81" spans="1:102" ht="15" customHeight="1" x14ac:dyDescent="0.25">
      <c r="A81" s="245"/>
      <c r="B81" s="244"/>
      <c r="C81" s="72" t="s">
        <v>439</v>
      </c>
      <c r="D81" s="265" t="s">
        <v>438</v>
      </c>
      <c r="E81" s="72" t="s">
        <v>243</v>
      </c>
      <c r="F81" s="263">
        <f>((18.8*(1.014*1.012*1.015)*1.1/1.11)*1.028)*(1.058)</f>
        <v>21.105266854966345</v>
      </c>
      <c r="G81" s="262">
        <f>F81*$G$1</f>
        <v>0</v>
      </c>
      <c r="I81" s="172"/>
      <c r="J81" s="294"/>
      <c r="K81" s="294"/>
      <c r="L81" s="294"/>
      <c r="M81" s="322"/>
      <c r="N81" s="321">
        <f>SUM(I81:M81)</f>
        <v>0</v>
      </c>
      <c r="O81" s="348">
        <v>1</v>
      </c>
      <c r="P81" s="318"/>
      <c r="Q81" s="249"/>
      <c r="R81" s="248"/>
      <c r="S81" s="248"/>
      <c r="T81" s="248"/>
      <c r="U81" s="248"/>
      <c r="V81" s="248"/>
      <c r="W81" s="247"/>
      <c r="X81" s="318">
        <f>P81*W$66</f>
        <v>0</v>
      </c>
      <c r="Z81" s="172"/>
      <c r="AA81" s="371"/>
      <c r="AB81" s="171"/>
      <c r="AC81" s="171"/>
      <c r="AD81" s="170"/>
      <c r="AE81" s="321">
        <f>SUM(Z81:AD81)</f>
        <v>0</v>
      </c>
      <c r="AF81" s="348">
        <v>1</v>
      </c>
      <c r="AG81" s="318"/>
      <c r="AH81" s="249"/>
      <c r="AI81" s="248"/>
      <c r="AJ81" s="248"/>
      <c r="AK81" s="248"/>
      <c r="AL81" s="248"/>
      <c r="AM81" s="248"/>
      <c r="AN81" s="247"/>
      <c r="AO81" s="318">
        <f>AG81*AN$66</f>
        <v>0</v>
      </c>
      <c r="AQ81" s="172"/>
      <c r="AR81" s="294"/>
      <c r="AS81" s="294"/>
      <c r="AT81" s="294"/>
      <c r="AU81" s="242"/>
      <c r="AV81" s="317">
        <f>SUM(AQ81:AU81)</f>
        <v>0</v>
      </c>
      <c r="AW81" s="348">
        <v>1</v>
      </c>
      <c r="AX81" s="318"/>
      <c r="AY81" s="249"/>
      <c r="AZ81" s="248"/>
      <c r="BA81" s="248"/>
      <c r="BB81" s="248"/>
      <c r="BC81" s="248"/>
      <c r="BD81" s="248"/>
      <c r="BE81" s="247"/>
      <c r="BF81" s="318"/>
      <c r="BH81" s="370"/>
      <c r="BI81" s="369"/>
      <c r="BJ81" s="369"/>
      <c r="BK81" s="369"/>
      <c r="BL81" s="368"/>
      <c r="BM81" s="319">
        <f>SUM(BH81:BL81)</f>
        <v>0</v>
      </c>
      <c r="BN81" s="348">
        <v>1</v>
      </c>
      <c r="BO81" s="318">
        <f>BM81*$G81*BN81</f>
        <v>0</v>
      </c>
      <c r="BP81" s="249"/>
      <c r="BQ81" s="248"/>
      <c r="BR81" s="248"/>
      <c r="BS81" s="248"/>
      <c r="BT81" s="248"/>
      <c r="BU81" s="248"/>
      <c r="BV81" s="247"/>
      <c r="BW81" s="318" t="e">
        <f>BO81*BV$66</f>
        <v>#REF!</v>
      </c>
      <c r="BY81" s="370"/>
      <c r="BZ81" s="369"/>
      <c r="CA81" s="369"/>
      <c r="CB81" s="369"/>
      <c r="CC81" s="368"/>
      <c r="CD81" s="319">
        <f>SUM(BY81:CC81)</f>
        <v>0</v>
      </c>
      <c r="CE81" s="348">
        <v>1</v>
      </c>
      <c r="CF81" s="318">
        <f>CD81*$G81*CE81</f>
        <v>0</v>
      </c>
      <c r="CG81" s="249"/>
      <c r="CH81" s="248"/>
      <c r="CI81" s="248"/>
      <c r="CJ81" s="248"/>
      <c r="CK81" s="248"/>
      <c r="CL81" s="248"/>
      <c r="CM81" s="247"/>
      <c r="CN81" s="318" t="e">
        <f>CF81*CM$66</f>
        <v>#REF!</v>
      </c>
      <c r="CP81" s="6"/>
      <c r="CQ81" s="233">
        <f>SUMIF(I$1:CO$1,1,I81:CO81)</f>
        <v>0</v>
      </c>
      <c r="CR81" s="6"/>
      <c r="CS81" s="233" t="e">
        <f>SUMIF(I$1:CO$1,2,I81:CO81)</f>
        <v>#REF!</v>
      </c>
      <c r="CU81" s="233">
        <f>SUMIF(I$1:CO$1,3,I81:CO81)</f>
        <v>0</v>
      </c>
      <c r="CW81" s="270"/>
      <c r="CX81" s="270"/>
    </row>
    <row r="82" spans="1:102" ht="15" customHeight="1" x14ac:dyDescent="0.25">
      <c r="A82" s="245"/>
      <c r="B82" s="244"/>
      <c r="C82" s="72" t="s">
        <v>437</v>
      </c>
      <c r="D82" s="265" t="s">
        <v>436</v>
      </c>
      <c r="E82" s="72" t="s">
        <v>243</v>
      </c>
      <c r="F82" s="263">
        <f>((5.8*(1.014*1.012*1.015)*1.1/1.11)*1.028)*(1.058)</f>
        <v>6.5111993488725943</v>
      </c>
      <c r="G82" s="262">
        <f>F82*$G$1</f>
        <v>0</v>
      </c>
      <c r="I82" s="172"/>
      <c r="J82" s="294"/>
      <c r="K82" s="294"/>
      <c r="L82" s="294"/>
      <c r="M82" s="322"/>
      <c r="N82" s="321">
        <f>SUM(I82:M82)</f>
        <v>0</v>
      </c>
      <c r="O82" s="348">
        <v>1</v>
      </c>
      <c r="P82" s="318"/>
      <c r="Q82" s="249"/>
      <c r="R82" s="248"/>
      <c r="S82" s="248"/>
      <c r="T82" s="248"/>
      <c r="U82" s="248"/>
      <c r="V82" s="248"/>
      <c r="W82" s="247"/>
      <c r="X82" s="318">
        <f>P82*W$66</f>
        <v>0</v>
      </c>
      <c r="Z82" s="172"/>
      <c r="AA82" s="371"/>
      <c r="AB82" s="171"/>
      <c r="AC82" s="171"/>
      <c r="AD82" s="170"/>
      <c r="AE82" s="321">
        <f>SUM(Z82:AD82)</f>
        <v>0</v>
      </c>
      <c r="AF82" s="348">
        <v>1</v>
      </c>
      <c r="AG82" s="318"/>
      <c r="AH82" s="249"/>
      <c r="AI82" s="248"/>
      <c r="AJ82" s="248"/>
      <c r="AK82" s="248"/>
      <c r="AL82" s="248"/>
      <c r="AM82" s="248"/>
      <c r="AN82" s="247"/>
      <c r="AO82" s="318">
        <f>AG82*AN$66</f>
        <v>0</v>
      </c>
      <c r="AQ82" s="172"/>
      <c r="AR82" s="294"/>
      <c r="AS82" s="294"/>
      <c r="AT82" s="294"/>
      <c r="AU82" s="242"/>
      <c r="AV82" s="317">
        <f>SUM(AQ82:AU82)</f>
        <v>0</v>
      </c>
      <c r="AW82" s="348">
        <v>1</v>
      </c>
      <c r="AX82" s="318"/>
      <c r="AY82" s="249"/>
      <c r="AZ82" s="248"/>
      <c r="BA82" s="248"/>
      <c r="BB82" s="248"/>
      <c r="BC82" s="248"/>
      <c r="BD82" s="248"/>
      <c r="BE82" s="247"/>
      <c r="BF82" s="318"/>
      <c r="BH82" s="370"/>
      <c r="BI82" s="369"/>
      <c r="BJ82" s="369"/>
      <c r="BK82" s="369"/>
      <c r="BL82" s="368"/>
      <c r="BM82" s="319">
        <f>SUM(BH82:BL82)</f>
        <v>0</v>
      </c>
      <c r="BN82" s="348">
        <v>1</v>
      </c>
      <c r="BO82" s="318">
        <f>BM82*$G82*BN82</f>
        <v>0</v>
      </c>
      <c r="BP82" s="249"/>
      <c r="BQ82" s="248"/>
      <c r="BR82" s="248"/>
      <c r="BS82" s="248"/>
      <c r="BT82" s="248"/>
      <c r="BU82" s="248"/>
      <c r="BV82" s="247"/>
      <c r="BW82" s="318" t="e">
        <f>BO82*BV$66</f>
        <v>#REF!</v>
      </c>
      <c r="BY82" s="387"/>
      <c r="BZ82" s="369"/>
      <c r="CA82" s="369"/>
      <c r="CB82" s="369"/>
      <c r="CC82" s="368"/>
      <c r="CD82" s="319">
        <f>SUM(BY82:CC82)</f>
        <v>0</v>
      </c>
      <c r="CE82" s="348">
        <v>1</v>
      </c>
      <c r="CF82" s="318">
        <f>CD82*$G82*CE82</f>
        <v>0</v>
      </c>
      <c r="CG82" s="249"/>
      <c r="CH82" s="248"/>
      <c r="CI82" s="248"/>
      <c r="CJ82" s="248"/>
      <c r="CK82" s="248"/>
      <c r="CL82" s="248"/>
      <c r="CM82" s="247"/>
      <c r="CN82" s="318" t="e">
        <f>CF82*CM$66</f>
        <v>#REF!</v>
      </c>
      <c r="CP82" s="6"/>
      <c r="CQ82" s="233">
        <f>SUMIF(I$1:CO$1,1,I82:CO82)</f>
        <v>0</v>
      </c>
      <c r="CR82" s="6"/>
      <c r="CS82" s="233" t="e">
        <f>SUMIF(I$1:CO$1,2,I82:CO82)</f>
        <v>#REF!</v>
      </c>
      <c r="CU82" s="233">
        <f>SUMIF(I$1:CO$1,3,I82:CO82)</f>
        <v>0</v>
      </c>
      <c r="CW82" s="270"/>
      <c r="CX82" s="270"/>
    </row>
    <row r="83" spans="1:102" ht="15" customHeight="1" x14ac:dyDescent="0.25">
      <c r="A83" s="245"/>
      <c r="B83" s="244"/>
      <c r="C83" s="72" t="s">
        <v>435</v>
      </c>
      <c r="D83" s="265" t="s">
        <v>434</v>
      </c>
      <c r="E83" s="72" t="s">
        <v>243</v>
      </c>
      <c r="F83" s="263">
        <f>((4.65*(1.014*1.012*1.015)*1.1/1.11)*1.028)*(1.058)</f>
        <v>5.2201856848719954</v>
      </c>
      <c r="G83" s="262">
        <f>F83*$G$1</f>
        <v>0</v>
      </c>
      <c r="I83" s="172"/>
      <c r="J83" s="294"/>
      <c r="K83" s="294"/>
      <c r="L83" s="294"/>
      <c r="M83" s="322"/>
      <c r="N83" s="321">
        <f>SUM(I83:M83)</f>
        <v>0</v>
      </c>
      <c r="O83" s="348">
        <v>1</v>
      </c>
      <c r="P83" s="318"/>
      <c r="Q83" s="249"/>
      <c r="R83" s="248"/>
      <c r="S83" s="248"/>
      <c r="T83" s="248"/>
      <c r="U83" s="248"/>
      <c r="V83" s="248"/>
      <c r="W83" s="247"/>
      <c r="X83" s="318">
        <f>P83*W$66</f>
        <v>0</v>
      </c>
      <c r="Z83" s="172"/>
      <c r="AA83" s="371"/>
      <c r="AB83" s="171"/>
      <c r="AC83" s="171"/>
      <c r="AD83" s="170"/>
      <c r="AE83" s="321">
        <f>SUM(Z83:AD83)</f>
        <v>0</v>
      </c>
      <c r="AF83" s="348">
        <v>1</v>
      </c>
      <c r="AG83" s="318"/>
      <c r="AH83" s="249"/>
      <c r="AI83" s="248"/>
      <c r="AJ83" s="248"/>
      <c r="AK83" s="248"/>
      <c r="AL83" s="248"/>
      <c r="AM83" s="248"/>
      <c r="AN83" s="247"/>
      <c r="AO83" s="318">
        <f>AG83*AN$66</f>
        <v>0</v>
      </c>
      <c r="AQ83" s="172"/>
      <c r="AR83" s="294"/>
      <c r="AS83" s="294"/>
      <c r="AT83" s="294"/>
      <c r="AU83" s="242"/>
      <c r="AV83" s="317">
        <f>SUM(AQ83:AU83)</f>
        <v>0</v>
      </c>
      <c r="AW83" s="348">
        <v>1</v>
      </c>
      <c r="AX83" s="318"/>
      <c r="AY83" s="249"/>
      <c r="AZ83" s="248"/>
      <c r="BA83" s="248"/>
      <c r="BB83" s="248"/>
      <c r="BC83" s="248"/>
      <c r="BD83" s="248"/>
      <c r="BE83" s="247"/>
      <c r="BF83" s="318"/>
      <c r="BH83" s="370"/>
      <c r="BI83" s="369"/>
      <c r="BJ83" s="369"/>
      <c r="BK83" s="369"/>
      <c r="BL83" s="368"/>
      <c r="BM83" s="319">
        <f>SUM(BH83:BL83)</f>
        <v>0</v>
      </c>
      <c r="BN83" s="348">
        <v>1</v>
      </c>
      <c r="BO83" s="318">
        <f>BM83*$G83*BN83</f>
        <v>0</v>
      </c>
      <c r="BP83" s="249"/>
      <c r="BQ83" s="248"/>
      <c r="BR83" s="248"/>
      <c r="BS83" s="248"/>
      <c r="BT83" s="248"/>
      <c r="BU83" s="248"/>
      <c r="BV83" s="247"/>
      <c r="BW83" s="318" t="e">
        <f>BO83*BV$66</f>
        <v>#REF!</v>
      </c>
      <c r="BY83" s="387"/>
      <c r="BZ83" s="369"/>
      <c r="CA83" s="369"/>
      <c r="CB83" s="369"/>
      <c r="CC83" s="368"/>
      <c r="CD83" s="319">
        <f>SUM(BY83:CC83)</f>
        <v>0</v>
      </c>
      <c r="CE83" s="348">
        <v>1</v>
      </c>
      <c r="CF83" s="318">
        <f>CD83*$G83*CE83</f>
        <v>0</v>
      </c>
      <c r="CG83" s="249"/>
      <c r="CH83" s="248"/>
      <c r="CI83" s="248"/>
      <c r="CJ83" s="248"/>
      <c r="CK83" s="248"/>
      <c r="CL83" s="248"/>
      <c r="CM83" s="247"/>
      <c r="CN83" s="318" t="e">
        <f>CF83*CM$66</f>
        <v>#REF!</v>
      </c>
      <c r="CP83" s="6"/>
      <c r="CQ83" s="233">
        <f>SUMIF(I$1:CO$1,1,I83:CO83)</f>
        <v>0</v>
      </c>
      <c r="CR83" s="6"/>
      <c r="CS83" s="233" t="e">
        <f>SUMIF(I$1:CO$1,2,I83:CO83)</f>
        <v>#REF!</v>
      </c>
      <c r="CU83" s="233">
        <f>SUMIF(I$1:CO$1,3,I83:CO83)</f>
        <v>0</v>
      </c>
      <c r="CW83" s="270"/>
      <c r="CX83" s="270"/>
    </row>
    <row r="84" spans="1:102" ht="15" customHeight="1" x14ac:dyDescent="0.25">
      <c r="A84" s="245"/>
      <c r="B84" s="244"/>
      <c r="C84" s="72" t="s">
        <v>433</v>
      </c>
      <c r="D84" s="265" t="s">
        <v>432</v>
      </c>
      <c r="E84" s="72" t="s">
        <v>243</v>
      </c>
      <c r="F84" s="263">
        <f>((3.4*(1.014*1.012*1.015)*1.1/1.11)*1.028)*(1.058)</f>
        <v>3.8169099631322112</v>
      </c>
      <c r="G84" s="262">
        <f>F84*$G$1</f>
        <v>0</v>
      </c>
      <c r="I84" s="172"/>
      <c r="J84" s="294"/>
      <c r="K84" s="294"/>
      <c r="L84" s="294"/>
      <c r="M84" s="322"/>
      <c r="N84" s="321">
        <f>SUM(I84:M84)</f>
        <v>0</v>
      </c>
      <c r="O84" s="348">
        <v>1</v>
      </c>
      <c r="P84" s="318"/>
      <c r="Q84" s="249"/>
      <c r="R84" s="248"/>
      <c r="S84" s="248"/>
      <c r="T84" s="248"/>
      <c r="U84" s="248"/>
      <c r="V84" s="248"/>
      <c r="W84" s="247"/>
      <c r="X84" s="318">
        <f>P84*W$66</f>
        <v>0</v>
      </c>
      <c r="Z84" s="172"/>
      <c r="AA84" s="371"/>
      <c r="AB84" s="171"/>
      <c r="AC84" s="171"/>
      <c r="AD84" s="170"/>
      <c r="AE84" s="321">
        <f>SUM(Z84:AD84)</f>
        <v>0</v>
      </c>
      <c r="AF84" s="348">
        <v>1</v>
      </c>
      <c r="AG84" s="318"/>
      <c r="AH84" s="249"/>
      <c r="AI84" s="248"/>
      <c r="AJ84" s="248"/>
      <c r="AK84" s="248"/>
      <c r="AL84" s="248"/>
      <c r="AM84" s="248"/>
      <c r="AN84" s="247"/>
      <c r="AO84" s="318">
        <f>AG84*AN$66</f>
        <v>0</v>
      </c>
      <c r="AQ84" s="172"/>
      <c r="AR84" s="294"/>
      <c r="AS84" s="294"/>
      <c r="AT84" s="294"/>
      <c r="AU84" s="242"/>
      <c r="AV84" s="317">
        <f>SUM(AQ84:AU84)</f>
        <v>0</v>
      </c>
      <c r="AW84" s="348">
        <v>1</v>
      </c>
      <c r="AX84" s="318"/>
      <c r="AY84" s="249"/>
      <c r="AZ84" s="248"/>
      <c r="BA84" s="248"/>
      <c r="BB84" s="248"/>
      <c r="BC84" s="248"/>
      <c r="BD84" s="248"/>
      <c r="BE84" s="247"/>
      <c r="BF84" s="318"/>
      <c r="BH84" s="370"/>
      <c r="BI84" s="369"/>
      <c r="BJ84" s="369"/>
      <c r="BK84" s="369"/>
      <c r="BL84" s="368"/>
      <c r="BM84" s="319">
        <f>SUM(BH84:BL84)</f>
        <v>0</v>
      </c>
      <c r="BN84" s="348">
        <v>1</v>
      </c>
      <c r="BO84" s="318">
        <f>BM84*$G84*BN84</f>
        <v>0</v>
      </c>
      <c r="BP84" s="249"/>
      <c r="BQ84" s="248"/>
      <c r="BR84" s="248"/>
      <c r="BS84" s="248"/>
      <c r="BT84" s="248"/>
      <c r="BU84" s="248"/>
      <c r="BV84" s="247"/>
      <c r="BW84" s="318" t="e">
        <f>BO84*BV$66</f>
        <v>#REF!</v>
      </c>
      <c r="BY84" s="387"/>
      <c r="BZ84" s="369"/>
      <c r="CA84" s="369"/>
      <c r="CB84" s="369"/>
      <c r="CC84" s="368"/>
      <c r="CD84" s="319">
        <f>SUM(BY84:CC84)</f>
        <v>0</v>
      </c>
      <c r="CE84" s="348">
        <v>1</v>
      </c>
      <c r="CF84" s="318">
        <f>CD84*$G84*CE84</f>
        <v>0</v>
      </c>
      <c r="CG84" s="249"/>
      <c r="CH84" s="248"/>
      <c r="CI84" s="248"/>
      <c r="CJ84" s="248"/>
      <c r="CK84" s="248"/>
      <c r="CL84" s="248"/>
      <c r="CM84" s="247"/>
      <c r="CN84" s="318" t="e">
        <f>CF84*CM$66</f>
        <v>#REF!</v>
      </c>
      <c r="CP84" s="6"/>
      <c r="CQ84" s="233">
        <f>SUMIF(I$1:CO$1,1,I84:CO84)</f>
        <v>0</v>
      </c>
      <c r="CR84" s="6"/>
      <c r="CS84" s="233" t="e">
        <f>SUMIF(I$1:CO$1,2,I84:CO84)</f>
        <v>#REF!</v>
      </c>
      <c r="CU84" s="233">
        <f>SUMIF(I$1:CO$1,3,I84:CO84)</f>
        <v>0</v>
      </c>
      <c r="CW84" s="270"/>
      <c r="CX84" s="270"/>
    </row>
    <row r="85" spans="1:102" ht="15" customHeight="1" x14ac:dyDescent="0.25">
      <c r="A85" s="245"/>
      <c r="B85" s="244"/>
      <c r="C85" s="72" t="s">
        <v>431</v>
      </c>
      <c r="D85" s="265" t="s">
        <v>430</v>
      </c>
      <c r="E85" s="72" t="s">
        <v>243</v>
      </c>
      <c r="F85" s="263">
        <f>((2.5*(1.014*1.012*1.015)*1.1/1.11)*1.028)*(1.058)</f>
        <v>2.8065514434795671</v>
      </c>
      <c r="G85" s="262">
        <f>F85*$G$1</f>
        <v>0</v>
      </c>
      <c r="I85" s="172"/>
      <c r="J85" s="294"/>
      <c r="K85" s="294"/>
      <c r="L85" s="294"/>
      <c r="M85" s="322"/>
      <c r="N85" s="321">
        <f>SUM(I85:M85)</f>
        <v>0</v>
      </c>
      <c r="O85" s="348">
        <v>1</v>
      </c>
      <c r="P85" s="318"/>
      <c r="Q85" s="249"/>
      <c r="R85" s="248"/>
      <c r="S85" s="248"/>
      <c r="T85" s="248"/>
      <c r="U85" s="248"/>
      <c r="V85" s="248"/>
      <c r="W85" s="247"/>
      <c r="X85" s="318">
        <f>P85*W$66</f>
        <v>0</v>
      </c>
      <c r="Z85" s="172"/>
      <c r="AA85" s="371"/>
      <c r="AB85" s="171"/>
      <c r="AC85" s="171"/>
      <c r="AD85" s="170"/>
      <c r="AE85" s="321">
        <f>SUM(Z85:AD85)</f>
        <v>0</v>
      </c>
      <c r="AF85" s="348">
        <v>1</v>
      </c>
      <c r="AG85" s="318"/>
      <c r="AH85" s="249"/>
      <c r="AI85" s="248"/>
      <c r="AJ85" s="248"/>
      <c r="AK85" s="248"/>
      <c r="AL85" s="248"/>
      <c r="AM85" s="248"/>
      <c r="AN85" s="247"/>
      <c r="AO85" s="318">
        <f>AG85*AN$66</f>
        <v>0</v>
      </c>
      <c r="AQ85" s="172"/>
      <c r="AR85" s="294"/>
      <c r="AS85" s="294"/>
      <c r="AT85" s="294"/>
      <c r="AU85" s="242"/>
      <c r="AV85" s="317">
        <f>SUM(AQ85:AU85)</f>
        <v>0</v>
      </c>
      <c r="AW85" s="348">
        <v>1</v>
      </c>
      <c r="AX85" s="318"/>
      <c r="AY85" s="249"/>
      <c r="AZ85" s="248"/>
      <c r="BA85" s="248"/>
      <c r="BB85" s="248"/>
      <c r="BC85" s="248"/>
      <c r="BD85" s="248"/>
      <c r="BE85" s="247"/>
      <c r="BF85" s="318"/>
      <c r="BH85" s="370"/>
      <c r="BI85" s="320"/>
      <c r="BJ85" s="320"/>
      <c r="BK85" s="320"/>
      <c r="BL85" s="165"/>
      <c r="BM85" s="319">
        <f>SUM(BH85:BL85)</f>
        <v>0</v>
      </c>
      <c r="BN85" s="348">
        <v>1</v>
      </c>
      <c r="BO85" s="318">
        <f>BM85*$G85*BN85</f>
        <v>0</v>
      </c>
      <c r="BP85" s="249"/>
      <c r="BQ85" s="248"/>
      <c r="BR85" s="248"/>
      <c r="BS85" s="248"/>
      <c r="BT85" s="248"/>
      <c r="BU85" s="248"/>
      <c r="BV85" s="247"/>
      <c r="BW85" s="318" t="e">
        <f>BO85*BV$66</f>
        <v>#REF!</v>
      </c>
      <c r="BY85" s="387"/>
      <c r="BZ85" s="320"/>
      <c r="CA85" s="320"/>
      <c r="CB85" s="320"/>
      <c r="CC85" s="165"/>
      <c r="CD85" s="319">
        <f>SUM(BY85:CC85)</f>
        <v>0</v>
      </c>
      <c r="CE85" s="348">
        <v>1</v>
      </c>
      <c r="CF85" s="318">
        <f>CD85*$G85*CE85</f>
        <v>0</v>
      </c>
      <c r="CG85" s="249"/>
      <c r="CH85" s="248"/>
      <c r="CI85" s="248"/>
      <c r="CJ85" s="248"/>
      <c r="CK85" s="248"/>
      <c r="CL85" s="248"/>
      <c r="CM85" s="247"/>
      <c r="CN85" s="318" t="e">
        <f>CF85*CM$66</f>
        <v>#REF!</v>
      </c>
      <c r="CP85" s="6"/>
      <c r="CQ85" s="233">
        <f>SUMIF(I$1:CO$1,1,I85:CO85)</f>
        <v>0</v>
      </c>
      <c r="CR85" s="6"/>
      <c r="CS85" s="233" t="e">
        <f>SUMIF(I$1:CO$1,2,I85:CO85)</f>
        <v>#REF!</v>
      </c>
      <c r="CU85" s="233">
        <f>SUMIF(I$1:CO$1,3,I85:CO85)</f>
        <v>0</v>
      </c>
      <c r="CW85" s="270"/>
      <c r="CX85" s="270"/>
    </row>
    <row r="86" spans="1:102" ht="15" customHeight="1" x14ac:dyDescent="0.25">
      <c r="A86" s="245"/>
      <c r="B86" s="244"/>
      <c r="C86" s="72" t="s">
        <v>429</v>
      </c>
      <c r="D86" s="265" t="s">
        <v>428</v>
      </c>
      <c r="E86" s="72" t="s">
        <v>243</v>
      </c>
      <c r="F86" s="263">
        <f>((2.5*(1.014*1.012*1.015)*1.1/1.11)*1.028)*(1.058)</f>
        <v>2.8065514434795671</v>
      </c>
      <c r="G86" s="262">
        <f>F86*$G$1</f>
        <v>0</v>
      </c>
      <c r="I86" s="172"/>
      <c r="J86" s="294"/>
      <c r="K86" s="294"/>
      <c r="L86" s="294"/>
      <c r="M86" s="322"/>
      <c r="N86" s="321">
        <f>SUM(I86:M86)</f>
        <v>0</v>
      </c>
      <c r="O86" s="348">
        <v>1</v>
      </c>
      <c r="P86" s="318"/>
      <c r="Q86" s="249"/>
      <c r="R86" s="248"/>
      <c r="S86" s="248"/>
      <c r="T86" s="248"/>
      <c r="U86" s="248"/>
      <c r="V86" s="248"/>
      <c r="W86" s="247"/>
      <c r="X86" s="318">
        <f>P86*W$66</f>
        <v>0</v>
      </c>
      <c r="Z86" s="172"/>
      <c r="AA86" s="371"/>
      <c r="AB86" s="171"/>
      <c r="AC86" s="171"/>
      <c r="AD86" s="170"/>
      <c r="AE86" s="321">
        <f>SUM(Z86:AD86)</f>
        <v>0</v>
      </c>
      <c r="AF86" s="348">
        <v>1</v>
      </c>
      <c r="AG86" s="318"/>
      <c r="AH86" s="249"/>
      <c r="AI86" s="248"/>
      <c r="AJ86" s="248"/>
      <c r="AK86" s="248"/>
      <c r="AL86" s="248"/>
      <c r="AM86" s="248"/>
      <c r="AN86" s="247"/>
      <c r="AO86" s="318">
        <f>AG86*AN$66</f>
        <v>0</v>
      </c>
      <c r="AQ86" s="172"/>
      <c r="AR86" s="294"/>
      <c r="AS86" s="294"/>
      <c r="AT86" s="294"/>
      <c r="AU86" s="242"/>
      <c r="AV86" s="317">
        <f>SUM(AQ86:AU86)</f>
        <v>0</v>
      </c>
      <c r="AW86" s="348">
        <v>1</v>
      </c>
      <c r="AX86" s="318"/>
      <c r="AY86" s="249"/>
      <c r="AZ86" s="248"/>
      <c r="BA86" s="248"/>
      <c r="BB86" s="248"/>
      <c r="BC86" s="248"/>
      <c r="BD86" s="248"/>
      <c r="BE86" s="247"/>
      <c r="BF86" s="318"/>
      <c r="BH86" s="370"/>
      <c r="BI86" s="320"/>
      <c r="BJ86" s="320"/>
      <c r="BK86" s="320"/>
      <c r="BL86" s="165"/>
      <c r="BM86" s="319">
        <f>SUM(BH86:BL86)</f>
        <v>0</v>
      </c>
      <c r="BN86" s="348">
        <v>1</v>
      </c>
      <c r="BO86" s="318">
        <f>BM86*$G86*BN86</f>
        <v>0</v>
      </c>
      <c r="BP86" s="249"/>
      <c r="BQ86" s="248"/>
      <c r="BR86" s="248"/>
      <c r="BS86" s="248"/>
      <c r="BT86" s="248"/>
      <c r="BU86" s="248"/>
      <c r="BV86" s="247"/>
      <c r="BW86" s="318" t="e">
        <f>BO86*BV$66</f>
        <v>#REF!</v>
      </c>
      <c r="BY86" s="387"/>
      <c r="BZ86" s="320"/>
      <c r="CA86" s="320"/>
      <c r="CB86" s="320"/>
      <c r="CC86" s="165"/>
      <c r="CD86" s="319">
        <f>SUM(BY86:CC86)</f>
        <v>0</v>
      </c>
      <c r="CE86" s="348">
        <v>1</v>
      </c>
      <c r="CF86" s="318">
        <f>CD86*$G86*CE86</f>
        <v>0</v>
      </c>
      <c r="CG86" s="249"/>
      <c r="CH86" s="248"/>
      <c r="CI86" s="248"/>
      <c r="CJ86" s="248"/>
      <c r="CK86" s="248"/>
      <c r="CL86" s="248"/>
      <c r="CM86" s="247"/>
      <c r="CN86" s="318" t="e">
        <f>CF86*CM$66</f>
        <v>#REF!</v>
      </c>
      <c r="CP86" s="6"/>
      <c r="CQ86" s="233">
        <f>SUMIF(I$1:CO$1,1,I86:CO86)</f>
        <v>0</v>
      </c>
      <c r="CR86" s="6"/>
      <c r="CS86" s="233" t="e">
        <f>SUMIF(I$1:CO$1,2,I86:CO86)</f>
        <v>#REF!</v>
      </c>
      <c r="CU86" s="233">
        <f>SUMIF(I$1:CO$1,3,I86:CO86)</f>
        <v>0</v>
      </c>
      <c r="CW86" s="270"/>
      <c r="CX86" s="270"/>
    </row>
    <row r="87" spans="1:102" ht="15" customHeight="1" x14ac:dyDescent="0.25">
      <c r="A87" s="245"/>
      <c r="B87" s="244"/>
      <c r="C87" s="72" t="s">
        <v>427</v>
      </c>
      <c r="D87" s="265" t="s">
        <v>426</v>
      </c>
      <c r="E87" s="72" t="s">
        <v>243</v>
      </c>
      <c r="F87" s="263">
        <f>((2*(1.014*1.012*1.015)*1.1/1.11)*1.028)*(1.058)</f>
        <v>2.2452411547836535</v>
      </c>
      <c r="G87" s="262">
        <f>F87*$G$1</f>
        <v>0</v>
      </c>
      <c r="I87" s="172"/>
      <c r="J87" s="294"/>
      <c r="K87" s="294"/>
      <c r="L87" s="294"/>
      <c r="M87" s="322"/>
      <c r="N87" s="321">
        <f>SUM(I87:M87)</f>
        <v>0</v>
      </c>
      <c r="O87" s="348">
        <v>1</v>
      </c>
      <c r="P87" s="318"/>
      <c r="Q87" s="249"/>
      <c r="R87" s="248"/>
      <c r="S87" s="248"/>
      <c r="T87" s="248"/>
      <c r="U87" s="248"/>
      <c r="V87" s="248"/>
      <c r="W87" s="247"/>
      <c r="X87" s="318">
        <f>P87*W$66</f>
        <v>0</v>
      </c>
      <c r="Z87" s="172"/>
      <c r="AA87" s="371"/>
      <c r="AB87" s="171"/>
      <c r="AC87" s="171"/>
      <c r="AD87" s="170"/>
      <c r="AE87" s="321">
        <f>SUM(Z87:AD87)</f>
        <v>0</v>
      </c>
      <c r="AF87" s="348">
        <v>1</v>
      </c>
      <c r="AG87" s="318"/>
      <c r="AH87" s="249"/>
      <c r="AI87" s="248"/>
      <c r="AJ87" s="248"/>
      <c r="AK87" s="248"/>
      <c r="AL87" s="248"/>
      <c r="AM87" s="248"/>
      <c r="AN87" s="247"/>
      <c r="AO87" s="318">
        <f>AG87*AN$66</f>
        <v>0</v>
      </c>
      <c r="AQ87" s="172"/>
      <c r="AR87" s="294"/>
      <c r="AS87" s="294"/>
      <c r="AT87" s="294"/>
      <c r="AU87" s="242"/>
      <c r="AV87" s="317">
        <f>SUM(AQ87:AU87)</f>
        <v>0</v>
      </c>
      <c r="AW87" s="348">
        <v>1</v>
      </c>
      <c r="AX87" s="318"/>
      <c r="AY87" s="249"/>
      <c r="AZ87" s="248"/>
      <c r="BA87" s="248"/>
      <c r="BB87" s="248"/>
      <c r="BC87" s="248"/>
      <c r="BD87" s="248"/>
      <c r="BE87" s="247"/>
      <c r="BF87" s="318"/>
      <c r="BH87" s="370"/>
      <c r="BI87" s="320"/>
      <c r="BJ87" s="320"/>
      <c r="BK87" s="320"/>
      <c r="BL87" s="165"/>
      <c r="BM87" s="319">
        <f>SUM(BH87:BL87)</f>
        <v>0</v>
      </c>
      <c r="BN87" s="348">
        <v>1</v>
      </c>
      <c r="BO87" s="318">
        <f>BM87*$G87*BN87</f>
        <v>0</v>
      </c>
      <c r="BP87" s="249"/>
      <c r="BQ87" s="248"/>
      <c r="BR87" s="248"/>
      <c r="BS87" s="248"/>
      <c r="BT87" s="248"/>
      <c r="BU87" s="248"/>
      <c r="BV87" s="247"/>
      <c r="BW87" s="318" t="e">
        <f>BO87*BV$66</f>
        <v>#REF!</v>
      </c>
      <c r="BY87" s="387"/>
      <c r="BZ87" s="320"/>
      <c r="CA87" s="320"/>
      <c r="CB87" s="320"/>
      <c r="CC87" s="165"/>
      <c r="CD87" s="319">
        <f>SUM(BY87:CC87)</f>
        <v>0</v>
      </c>
      <c r="CE87" s="348">
        <v>1</v>
      </c>
      <c r="CF87" s="318">
        <f>CD87*$G87*CE87</f>
        <v>0</v>
      </c>
      <c r="CG87" s="249"/>
      <c r="CH87" s="248"/>
      <c r="CI87" s="248"/>
      <c r="CJ87" s="248"/>
      <c r="CK87" s="248"/>
      <c r="CL87" s="248"/>
      <c r="CM87" s="247"/>
      <c r="CN87" s="318" t="e">
        <f>CF87*CM$66</f>
        <v>#REF!</v>
      </c>
      <c r="CP87" s="6"/>
      <c r="CQ87" s="233">
        <f>SUMIF(I$1:CO$1,1,I87:CO87)</f>
        <v>0</v>
      </c>
      <c r="CR87" s="6"/>
      <c r="CS87" s="233" t="e">
        <f>SUMIF(I$1:CO$1,2,I87:CO87)</f>
        <v>#REF!</v>
      </c>
      <c r="CU87" s="233">
        <f>SUMIF(I$1:CO$1,3,I87:CO87)</f>
        <v>0</v>
      </c>
      <c r="CW87" s="270"/>
      <c r="CX87" s="270"/>
    </row>
    <row r="88" spans="1:102" ht="15" customHeight="1" x14ac:dyDescent="0.25">
      <c r="A88" s="245"/>
      <c r="B88" s="244"/>
      <c r="C88" s="72" t="s">
        <v>425</v>
      </c>
      <c r="D88" s="265" t="s">
        <v>424</v>
      </c>
      <c r="E88" s="72" t="s">
        <v>243</v>
      </c>
      <c r="F88" s="263">
        <f>((1.7*(1.014*1.012*1.015)*1.1/1.11)*1.028)*(1.058)</f>
        <v>1.9084549815661056</v>
      </c>
      <c r="G88" s="262">
        <f>F88*$G$1</f>
        <v>0</v>
      </c>
      <c r="I88" s="172"/>
      <c r="J88" s="294"/>
      <c r="K88" s="294"/>
      <c r="L88" s="294"/>
      <c r="M88" s="322"/>
      <c r="N88" s="321">
        <f>SUM(I88:M88)</f>
        <v>0</v>
      </c>
      <c r="O88" s="348">
        <v>1</v>
      </c>
      <c r="P88" s="318"/>
      <c r="Q88" s="249"/>
      <c r="R88" s="248"/>
      <c r="S88" s="248"/>
      <c r="T88" s="248"/>
      <c r="U88" s="248"/>
      <c r="V88" s="248"/>
      <c r="W88" s="247"/>
      <c r="X88" s="318">
        <f>P88*W$66</f>
        <v>0</v>
      </c>
      <c r="Z88" s="172"/>
      <c r="AA88" s="371"/>
      <c r="AB88" s="171"/>
      <c r="AC88" s="171"/>
      <c r="AD88" s="170"/>
      <c r="AE88" s="321">
        <f>SUM(Z88:AD88)</f>
        <v>0</v>
      </c>
      <c r="AF88" s="348">
        <v>1</v>
      </c>
      <c r="AG88" s="318"/>
      <c r="AH88" s="249"/>
      <c r="AI88" s="248"/>
      <c r="AJ88" s="248"/>
      <c r="AK88" s="248"/>
      <c r="AL88" s="248"/>
      <c r="AM88" s="248"/>
      <c r="AN88" s="247"/>
      <c r="AO88" s="318">
        <f>AG88*AN$66</f>
        <v>0</v>
      </c>
      <c r="AQ88" s="172"/>
      <c r="AR88" s="294"/>
      <c r="AS88" s="294"/>
      <c r="AT88" s="294"/>
      <c r="AU88" s="242"/>
      <c r="AV88" s="317">
        <f>SUM(AQ88:AU88)</f>
        <v>0</v>
      </c>
      <c r="AW88" s="348">
        <v>1</v>
      </c>
      <c r="AX88" s="318"/>
      <c r="AY88" s="249"/>
      <c r="AZ88" s="248"/>
      <c r="BA88" s="248"/>
      <c r="BB88" s="248"/>
      <c r="BC88" s="248"/>
      <c r="BD88" s="248"/>
      <c r="BE88" s="247"/>
      <c r="BF88" s="318"/>
      <c r="BH88" s="370"/>
      <c r="BI88" s="351"/>
      <c r="BJ88" s="351"/>
      <c r="BK88" s="351"/>
      <c r="BL88" s="165"/>
      <c r="BM88" s="319">
        <f>SUM(BH88:BL88)</f>
        <v>0</v>
      </c>
      <c r="BN88" s="348">
        <v>1</v>
      </c>
      <c r="BO88" s="318">
        <f>BM88*$G88*BN88</f>
        <v>0</v>
      </c>
      <c r="BP88" s="249"/>
      <c r="BQ88" s="248"/>
      <c r="BR88" s="248"/>
      <c r="BS88" s="248"/>
      <c r="BT88" s="248"/>
      <c r="BU88" s="248"/>
      <c r="BV88" s="247"/>
      <c r="BW88" s="318" t="e">
        <f>BO88*BV$66</f>
        <v>#REF!</v>
      </c>
      <c r="BY88" s="370"/>
      <c r="BZ88" s="351"/>
      <c r="CA88" s="351"/>
      <c r="CB88" s="351"/>
      <c r="CC88" s="165"/>
      <c r="CD88" s="319">
        <f>SUM(BY88:CC88)</f>
        <v>0</v>
      </c>
      <c r="CE88" s="348">
        <v>1</v>
      </c>
      <c r="CF88" s="318">
        <f>CD88*$G88*CE88</f>
        <v>0</v>
      </c>
      <c r="CG88" s="249"/>
      <c r="CH88" s="248"/>
      <c r="CI88" s="248"/>
      <c r="CJ88" s="248"/>
      <c r="CK88" s="248"/>
      <c r="CL88" s="248"/>
      <c r="CM88" s="247"/>
      <c r="CN88" s="318" t="e">
        <f>CF88*CM$66</f>
        <v>#REF!</v>
      </c>
      <c r="CP88" s="6"/>
      <c r="CQ88" s="233">
        <f>SUMIF(I$1:CO$1,1,I88:CO88)</f>
        <v>0</v>
      </c>
      <c r="CR88" s="6"/>
      <c r="CS88" s="233" t="e">
        <f>SUMIF(I$1:CO$1,2,I88:CO88)</f>
        <v>#REF!</v>
      </c>
      <c r="CU88" s="233">
        <f>SUMIF(I$1:CO$1,3,I88:CO88)</f>
        <v>0</v>
      </c>
      <c r="CW88" s="270"/>
      <c r="CX88" s="270"/>
    </row>
    <row r="89" spans="1:102" ht="15" customHeight="1" x14ac:dyDescent="0.25">
      <c r="A89" s="245"/>
      <c r="B89" s="244"/>
      <c r="C89" s="72" t="s">
        <v>423</v>
      </c>
      <c r="D89" s="265" t="s">
        <v>422</v>
      </c>
      <c r="E89" s="72" t="s">
        <v>243</v>
      </c>
      <c r="F89" s="263">
        <f>((5.7*(1.014*1.012*1.015)*1.1/1.11)*1.028)*(1.058)</f>
        <v>6.3989372911334135</v>
      </c>
      <c r="G89" s="262">
        <f>F89*$G$1</f>
        <v>0</v>
      </c>
      <c r="I89" s="172"/>
      <c r="J89" s="294"/>
      <c r="K89" s="294"/>
      <c r="L89" s="294"/>
      <c r="M89" s="322"/>
      <c r="N89" s="321">
        <f>SUM(I89:M89)</f>
        <v>0</v>
      </c>
      <c r="O89" s="348">
        <v>1</v>
      </c>
      <c r="P89" s="318"/>
      <c r="Q89" s="249"/>
      <c r="R89" s="248"/>
      <c r="S89" s="248"/>
      <c r="T89" s="248"/>
      <c r="U89" s="248"/>
      <c r="V89" s="248"/>
      <c r="W89" s="247"/>
      <c r="X89" s="318">
        <f>P89*W$66</f>
        <v>0</v>
      </c>
      <c r="Z89" s="172"/>
      <c r="AA89" s="371"/>
      <c r="AB89" s="171"/>
      <c r="AC89" s="171"/>
      <c r="AD89" s="170"/>
      <c r="AE89" s="321">
        <f>SUM(Z89:AD89)</f>
        <v>0</v>
      </c>
      <c r="AF89" s="348">
        <v>1</v>
      </c>
      <c r="AG89" s="318"/>
      <c r="AH89" s="249"/>
      <c r="AI89" s="248"/>
      <c r="AJ89" s="248"/>
      <c r="AK89" s="248"/>
      <c r="AL89" s="248"/>
      <c r="AM89" s="248"/>
      <c r="AN89" s="247"/>
      <c r="AO89" s="318">
        <f>AG89*AN$66</f>
        <v>0</v>
      </c>
      <c r="AQ89" s="172"/>
      <c r="AR89" s="294"/>
      <c r="AS89" s="294"/>
      <c r="AT89" s="294"/>
      <c r="AU89" s="242"/>
      <c r="AV89" s="317">
        <f>SUM(AQ89:AU89)</f>
        <v>0</v>
      </c>
      <c r="AW89" s="348">
        <v>1</v>
      </c>
      <c r="AX89" s="318"/>
      <c r="AY89" s="249"/>
      <c r="AZ89" s="248"/>
      <c r="BA89" s="248"/>
      <c r="BB89" s="248"/>
      <c r="BC89" s="248"/>
      <c r="BD89" s="248"/>
      <c r="BE89" s="247"/>
      <c r="BF89" s="318"/>
      <c r="BH89" s="370"/>
      <c r="BI89" s="351"/>
      <c r="BJ89" s="351"/>
      <c r="BK89" s="351"/>
      <c r="BL89" s="165"/>
      <c r="BM89" s="319">
        <f>SUM(BH89:BL89)</f>
        <v>0</v>
      </c>
      <c r="BN89" s="348">
        <v>1</v>
      </c>
      <c r="BO89" s="318">
        <f>BM89*$G89*BN89</f>
        <v>0</v>
      </c>
      <c r="BP89" s="249"/>
      <c r="BQ89" s="248"/>
      <c r="BR89" s="248"/>
      <c r="BS89" s="248"/>
      <c r="BT89" s="248"/>
      <c r="BU89" s="248"/>
      <c r="BV89" s="247"/>
      <c r="BW89" s="318" t="e">
        <f>BO89*BV$66</f>
        <v>#REF!</v>
      </c>
      <c r="BY89" s="370"/>
      <c r="BZ89" s="351"/>
      <c r="CA89" s="351"/>
      <c r="CB89" s="351"/>
      <c r="CC89" s="165"/>
      <c r="CD89" s="319">
        <f>SUM(BY89:CC89)</f>
        <v>0</v>
      </c>
      <c r="CE89" s="348">
        <v>1</v>
      </c>
      <c r="CF89" s="318">
        <f>CD89*$G89*CE89</f>
        <v>0</v>
      </c>
      <c r="CG89" s="249"/>
      <c r="CH89" s="248"/>
      <c r="CI89" s="248"/>
      <c r="CJ89" s="248"/>
      <c r="CK89" s="248"/>
      <c r="CL89" s="248"/>
      <c r="CM89" s="247"/>
      <c r="CN89" s="318" t="e">
        <f>CF89*CM$66</f>
        <v>#REF!</v>
      </c>
      <c r="CP89" s="6"/>
      <c r="CQ89" s="233">
        <f>SUMIF(I$1:CO$1,1,I89:CO89)</f>
        <v>0</v>
      </c>
      <c r="CR89" s="6"/>
      <c r="CS89" s="233" t="e">
        <f>SUMIF(I$1:CO$1,2,I89:CO89)</f>
        <v>#REF!</v>
      </c>
      <c r="CU89" s="233">
        <f>SUMIF(I$1:CO$1,3,I89:CO89)</f>
        <v>0</v>
      </c>
      <c r="CW89" s="270"/>
      <c r="CX89" s="270"/>
    </row>
    <row r="90" spans="1:102" ht="15" customHeight="1" x14ac:dyDescent="0.25">
      <c r="A90" s="245"/>
      <c r="B90" s="244"/>
      <c r="C90" s="72" t="s">
        <v>421</v>
      </c>
      <c r="D90" s="265" t="s">
        <v>420</v>
      </c>
      <c r="E90" s="72" t="s">
        <v>243</v>
      </c>
      <c r="F90" s="263">
        <f>((15.8*(1.014*1.012*1.015)*1.1/1.11)*1.028)*(1.058)</f>
        <v>17.737405122790864</v>
      </c>
      <c r="G90" s="262">
        <f>F90*$G$1</f>
        <v>0</v>
      </c>
      <c r="I90" s="172"/>
      <c r="J90" s="294"/>
      <c r="K90" s="294"/>
      <c r="L90" s="294"/>
      <c r="M90" s="322"/>
      <c r="N90" s="321">
        <f>SUM(I90:M90)</f>
        <v>0</v>
      </c>
      <c r="O90" s="348">
        <v>1</v>
      </c>
      <c r="P90" s="318"/>
      <c r="Q90" s="249"/>
      <c r="R90" s="248"/>
      <c r="S90" s="248"/>
      <c r="T90" s="248"/>
      <c r="U90" s="248"/>
      <c r="V90" s="248"/>
      <c r="W90" s="247"/>
      <c r="X90" s="318">
        <f>P90*W$66</f>
        <v>0</v>
      </c>
      <c r="Z90" s="172"/>
      <c r="AA90" s="371"/>
      <c r="AB90" s="171"/>
      <c r="AC90" s="171"/>
      <c r="AD90" s="170"/>
      <c r="AE90" s="321">
        <f>SUM(Z90:AD90)</f>
        <v>0</v>
      </c>
      <c r="AF90" s="348">
        <v>1</v>
      </c>
      <c r="AG90" s="318"/>
      <c r="AH90" s="249"/>
      <c r="AI90" s="248"/>
      <c r="AJ90" s="248"/>
      <c r="AK90" s="248"/>
      <c r="AL90" s="248"/>
      <c r="AM90" s="248"/>
      <c r="AN90" s="247"/>
      <c r="AO90" s="318">
        <f>AG90*AN$66</f>
        <v>0</v>
      </c>
      <c r="AQ90" s="172"/>
      <c r="AR90" s="294"/>
      <c r="AS90" s="294"/>
      <c r="AT90" s="294"/>
      <c r="AU90" s="242"/>
      <c r="AV90" s="317">
        <f>SUM(AQ90:AU90)</f>
        <v>0</v>
      </c>
      <c r="AW90" s="348">
        <v>1</v>
      </c>
      <c r="AX90" s="318"/>
      <c r="AY90" s="249"/>
      <c r="AZ90" s="248"/>
      <c r="BA90" s="248"/>
      <c r="BB90" s="248"/>
      <c r="BC90" s="248"/>
      <c r="BD90" s="248"/>
      <c r="BE90" s="247"/>
      <c r="BF90" s="318"/>
      <c r="BH90" s="370"/>
      <c r="BI90" s="320"/>
      <c r="BJ90" s="320"/>
      <c r="BK90" s="320"/>
      <c r="BL90" s="165"/>
      <c r="BM90" s="319">
        <f>SUM(BH90:BL90)</f>
        <v>0</v>
      </c>
      <c r="BN90" s="348">
        <v>1</v>
      </c>
      <c r="BO90" s="318">
        <f>BM90*$G90*BN90</f>
        <v>0</v>
      </c>
      <c r="BP90" s="249"/>
      <c r="BQ90" s="248"/>
      <c r="BR90" s="248"/>
      <c r="BS90" s="248"/>
      <c r="BT90" s="248"/>
      <c r="BU90" s="248"/>
      <c r="BV90" s="247"/>
      <c r="BW90" s="318" t="e">
        <f>BO90*BV$66</f>
        <v>#REF!</v>
      </c>
      <c r="BY90" s="370"/>
      <c r="BZ90" s="320"/>
      <c r="CA90" s="320"/>
      <c r="CB90" s="320"/>
      <c r="CC90" s="165"/>
      <c r="CD90" s="319">
        <f>SUM(BY90:CC90)</f>
        <v>0</v>
      </c>
      <c r="CE90" s="348">
        <v>1</v>
      </c>
      <c r="CF90" s="318">
        <f>CD90*$G90*CE90</f>
        <v>0</v>
      </c>
      <c r="CG90" s="249"/>
      <c r="CH90" s="248"/>
      <c r="CI90" s="248"/>
      <c r="CJ90" s="248"/>
      <c r="CK90" s="248"/>
      <c r="CL90" s="248"/>
      <c r="CM90" s="247"/>
      <c r="CN90" s="318" t="e">
        <f>CF90*CM$66</f>
        <v>#REF!</v>
      </c>
      <c r="CP90" s="6"/>
      <c r="CQ90" s="233">
        <f>SUMIF(I$1:CO$1,1,I90:CO90)</f>
        <v>0</v>
      </c>
      <c r="CR90" s="6"/>
      <c r="CS90" s="233" t="e">
        <f>SUMIF(I$1:CO$1,2,I90:CO90)</f>
        <v>#REF!</v>
      </c>
      <c r="CU90" s="233">
        <f>SUMIF(I$1:CO$1,3,I90:CO90)</f>
        <v>0</v>
      </c>
      <c r="CW90" s="270"/>
      <c r="CX90" s="270"/>
    </row>
    <row r="91" spans="1:102" ht="15" customHeight="1" x14ac:dyDescent="0.25">
      <c r="A91" s="245"/>
      <c r="B91" s="268" t="s">
        <v>419</v>
      </c>
      <c r="C91" s="72" t="s">
        <v>418</v>
      </c>
      <c r="D91" s="265" t="s">
        <v>417</v>
      </c>
      <c r="E91" s="72" t="s">
        <v>401</v>
      </c>
      <c r="F91" s="263">
        <f>((0.0163*(1.014*1.012*1.015)*1.1/1.11)*1.028)*(1.058)</f>
        <v>1.8298715411486775E-2</v>
      </c>
      <c r="G91" s="262">
        <f>F91*$G$1</f>
        <v>0</v>
      </c>
      <c r="I91" s="172"/>
      <c r="J91" s="294"/>
      <c r="K91" s="294"/>
      <c r="L91" s="294"/>
      <c r="M91" s="322"/>
      <c r="N91" s="321">
        <f>SUM(I91:M91)</f>
        <v>0</v>
      </c>
      <c r="O91" s="348">
        <v>1</v>
      </c>
      <c r="P91" s="318"/>
      <c r="Q91" s="249"/>
      <c r="R91" s="248"/>
      <c r="S91" s="248"/>
      <c r="T91" s="248"/>
      <c r="U91" s="248"/>
      <c r="V91" s="248"/>
      <c r="W91" s="247"/>
      <c r="X91" s="318">
        <f>P91*W$66</f>
        <v>0</v>
      </c>
      <c r="Z91" s="172"/>
      <c r="AA91" s="371"/>
      <c r="AB91" s="171"/>
      <c r="AC91" s="171"/>
      <c r="AD91" s="170"/>
      <c r="AE91" s="321">
        <f>SUM(Z91:AD91)</f>
        <v>0</v>
      </c>
      <c r="AF91" s="348">
        <v>1</v>
      </c>
      <c r="AG91" s="318"/>
      <c r="AH91" s="249"/>
      <c r="AI91" s="248"/>
      <c r="AJ91" s="248"/>
      <c r="AK91" s="248"/>
      <c r="AL91" s="248"/>
      <c r="AM91" s="248"/>
      <c r="AN91" s="247"/>
      <c r="AO91" s="318">
        <f>AG91*AN$66</f>
        <v>0</v>
      </c>
      <c r="AQ91" s="172"/>
      <c r="AR91" s="294"/>
      <c r="AS91" s="294"/>
      <c r="AT91" s="294"/>
      <c r="AU91" s="242"/>
      <c r="AV91" s="317">
        <f>SUM(AQ91:AU91)</f>
        <v>0</v>
      </c>
      <c r="AW91" s="348">
        <v>1</v>
      </c>
      <c r="AX91" s="318"/>
      <c r="AY91" s="249"/>
      <c r="AZ91" s="248"/>
      <c r="BA91" s="248"/>
      <c r="BB91" s="248"/>
      <c r="BC91" s="248"/>
      <c r="BD91" s="248"/>
      <c r="BE91" s="247"/>
      <c r="BF91" s="318"/>
      <c r="BH91" s="370"/>
      <c r="BI91" s="320"/>
      <c r="BJ91" s="320"/>
      <c r="BK91" s="320"/>
      <c r="BL91" s="165"/>
      <c r="BM91" s="319">
        <f>SUM(BH91:BL91)</f>
        <v>0</v>
      </c>
      <c r="BN91" s="348">
        <v>1</v>
      </c>
      <c r="BO91" s="318">
        <f>BM91*$G91*BN91</f>
        <v>0</v>
      </c>
      <c r="BP91" s="249"/>
      <c r="BQ91" s="248"/>
      <c r="BR91" s="248"/>
      <c r="BS91" s="248"/>
      <c r="BT91" s="248"/>
      <c r="BU91" s="248"/>
      <c r="BV91" s="247"/>
      <c r="BW91" s="318" t="e">
        <f>BO91*BV$66</f>
        <v>#REF!</v>
      </c>
      <c r="BY91" s="370"/>
      <c r="BZ91" s="320"/>
      <c r="CA91" s="320"/>
      <c r="CB91" s="320"/>
      <c r="CC91" s="165"/>
      <c r="CD91" s="319">
        <f>SUM(BY91:CC91)</f>
        <v>0</v>
      </c>
      <c r="CE91" s="348">
        <v>1</v>
      </c>
      <c r="CF91" s="318">
        <f>CD91*$G91*CE91</f>
        <v>0</v>
      </c>
      <c r="CG91" s="249"/>
      <c r="CH91" s="248"/>
      <c r="CI91" s="248"/>
      <c r="CJ91" s="248"/>
      <c r="CK91" s="248"/>
      <c r="CL91" s="248"/>
      <c r="CM91" s="247"/>
      <c r="CN91" s="318" t="e">
        <f>CF91*CM$66</f>
        <v>#REF!</v>
      </c>
      <c r="CP91" s="6"/>
      <c r="CQ91" s="233">
        <f>SUMIF(I$1:CO$1,1,I91:CO91)</f>
        <v>0</v>
      </c>
      <c r="CR91" s="6"/>
      <c r="CS91" s="233" t="e">
        <f>SUMIF(I$1:CO$1,2,I91:CO91)</f>
        <v>#REF!</v>
      </c>
      <c r="CU91" s="233">
        <f>SUMIF(I$1:CO$1,3,I91:CO91)</f>
        <v>0</v>
      </c>
      <c r="CW91" s="270"/>
      <c r="CX91" s="270"/>
    </row>
    <row r="92" spans="1:102" ht="15" customHeight="1" x14ac:dyDescent="0.25">
      <c r="A92" s="245"/>
      <c r="B92" s="267"/>
      <c r="C92" s="72" t="s">
        <v>416</v>
      </c>
      <c r="D92" s="265" t="s">
        <v>415</v>
      </c>
      <c r="E92" s="72" t="s">
        <v>401</v>
      </c>
      <c r="F92" s="263">
        <f>((0.0105*(1.014*1.012*1.015)*1.1/1.11)*1.028)*(1.058)</f>
        <v>1.1787516062614184E-2</v>
      </c>
      <c r="G92" s="262">
        <f>F92*$G$1</f>
        <v>0</v>
      </c>
      <c r="I92" s="172"/>
      <c r="J92" s="294"/>
      <c r="K92" s="294"/>
      <c r="L92" s="294"/>
      <c r="M92" s="322"/>
      <c r="N92" s="321">
        <f>SUM(I92:M92)</f>
        <v>0</v>
      </c>
      <c r="O92" s="348">
        <v>1</v>
      </c>
      <c r="P92" s="318"/>
      <c r="Q92" s="249"/>
      <c r="R92" s="248"/>
      <c r="S92" s="248"/>
      <c r="T92" s="248"/>
      <c r="U92" s="248"/>
      <c r="V92" s="248"/>
      <c r="W92" s="247"/>
      <c r="X92" s="318">
        <f>P92*W$66</f>
        <v>0</v>
      </c>
      <c r="Z92" s="172"/>
      <c r="AA92" s="371"/>
      <c r="AB92" s="171"/>
      <c r="AC92" s="171"/>
      <c r="AD92" s="170"/>
      <c r="AE92" s="321">
        <f>SUM(Z92:AD92)</f>
        <v>0</v>
      </c>
      <c r="AF92" s="348">
        <v>1</v>
      </c>
      <c r="AG92" s="318"/>
      <c r="AH92" s="249"/>
      <c r="AI92" s="248"/>
      <c r="AJ92" s="248"/>
      <c r="AK92" s="248"/>
      <c r="AL92" s="248"/>
      <c r="AM92" s="248"/>
      <c r="AN92" s="247"/>
      <c r="AO92" s="318">
        <f>AG92*AN$66</f>
        <v>0</v>
      </c>
      <c r="AQ92" s="172"/>
      <c r="AR92" s="294"/>
      <c r="AS92" s="294"/>
      <c r="AT92" s="294"/>
      <c r="AU92" s="242"/>
      <c r="AV92" s="317">
        <f>SUM(AQ92:AU92)</f>
        <v>0</v>
      </c>
      <c r="AW92" s="348">
        <v>1</v>
      </c>
      <c r="AX92" s="318"/>
      <c r="AY92" s="249"/>
      <c r="AZ92" s="248"/>
      <c r="BA92" s="248"/>
      <c r="BB92" s="248"/>
      <c r="BC92" s="248"/>
      <c r="BD92" s="248"/>
      <c r="BE92" s="247"/>
      <c r="BF92" s="318"/>
      <c r="BH92" s="370"/>
      <c r="BI92" s="320"/>
      <c r="BJ92" s="320"/>
      <c r="BK92" s="320"/>
      <c r="BL92" s="165"/>
      <c r="BM92" s="319">
        <f>SUM(BH92:BL92)</f>
        <v>0</v>
      </c>
      <c r="BN92" s="348">
        <v>1</v>
      </c>
      <c r="BO92" s="318">
        <f>BM92*$G92*BN92</f>
        <v>0</v>
      </c>
      <c r="BP92" s="249"/>
      <c r="BQ92" s="248"/>
      <c r="BR92" s="248"/>
      <c r="BS92" s="248"/>
      <c r="BT92" s="248"/>
      <c r="BU92" s="248"/>
      <c r="BV92" s="247"/>
      <c r="BW92" s="318" t="e">
        <f>BO92*BV$66</f>
        <v>#REF!</v>
      </c>
      <c r="BY92" s="370"/>
      <c r="BZ92" s="320"/>
      <c r="CA92" s="320"/>
      <c r="CB92" s="320"/>
      <c r="CC92" s="165"/>
      <c r="CD92" s="319">
        <f>SUM(BY92:CC92)</f>
        <v>0</v>
      </c>
      <c r="CE92" s="348">
        <v>1</v>
      </c>
      <c r="CF92" s="318">
        <f>CD92*$G92*CE92</f>
        <v>0</v>
      </c>
      <c r="CG92" s="249"/>
      <c r="CH92" s="248"/>
      <c r="CI92" s="248"/>
      <c r="CJ92" s="248"/>
      <c r="CK92" s="248"/>
      <c r="CL92" s="248"/>
      <c r="CM92" s="247"/>
      <c r="CN92" s="318" t="e">
        <f>CF92*CM$66</f>
        <v>#REF!</v>
      </c>
      <c r="CP92" s="6"/>
      <c r="CQ92" s="233">
        <f>SUMIF(I$1:CO$1,1,I92:CO92)</f>
        <v>0</v>
      </c>
      <c r="CR92" s="6"/>
      <c r="CS92" s="233" t="e">
        <f>SUMIF(I$1:CO$1,2,I92:CO92)</f>
        <v>#REF!</v>
      </c>
      <c r="CU92" s="233">
        <f>SUMIF(I$1:CO$1,3,I92:CO92)</f>
        <v>0</v>
      </c>
      <c r="CW92" s="270"/>
      <c r="CX92" s="270"/>
    </row>
    <row r="93" spans="1:102" ht="15" customHeight="1" x14ac:dyDescent="0.25">
      <c r="A93" s="245"/>
      <c r="B93" s="267"/>
      <c r="C93" s="72" t="s">
        <v>414</v>
      </c>
      <c r="D93" s="265" t="s">
        <v>413</v>
      </c>
      <c r="E93" s="72" t="s">
        <v>401</v>
      </c>
      <c r="F93" s="263">
        <f>((0.0078*(1.014*1.012*1.015)*1.1/1.11)*1.028)*(1.058)</f>
        <v>8.7564405036562459E-3</v>
      </c>
      <c r="G93" s="262">
        <f>F93*$G$1</f>
        <v>0</v>
      </c>
      <c r="I93" s="172"/>
      <c r="J93" s="294"/>
      <c r="K93" s="294">
        <v>200</v>
      </c>
      <c r="L93" s="294">
        <v>630</v>
      </c>
      <c r="M93" s="322">
        <v>100</v>
      </c>
      <c r="N93" s="321">
        <f>SUM(I93:M93)</f>
        <v>930</v>
      </c>
      <c r="O93" s="348">
        <v>1</v>
      </c>
      <c r="P93" s="318"/>
      <c r="Q93" s="249"/>
      <c r="R93" s="248"/>
      <c r="S93" s="248"/>
      <c r="T93" s="248"/>
      <c r="U93" s="248"/>
      <c r="V93" s="248"/>
      <c r="W93" s="247"/>
      <c r="X93" s="318">
        <f>P93*W$66</f>
        <v>0</v>
      </c>
      <c r="Z93" s="172">
        <v>100</v>
      </c>
      <c r="AA93" s="371"/>
      <c r="AB93" s="171">
        <v>100</v>
      </c>
      <c r="AC93" s="171">
        <v>100</v>
      </c>
      <c r="AD93" s="170">
        <f>150+30</f>
        <v>180</v>
      </c>
      <c r="AE93" s="321">
        <f>SUM(Z93:AD93)</f>
        <v>480</v>
      </c>
      <c r="AF93" s="348">
        <v>1</v>
      </c>
      <c r="AG93" s="318"/>
      <c r="AH93" s="249"/>
      <c r="AI93" s="248"/>
      <c r="AJ93" s="248"/>
      <c r="AK93" s="248"/>
      <c r="AL93" s="248"/>
      <c r="AM93" s="248"/>
      <c r="AN93" s="247"/>
      <c r="AO93" s="318">
        <f>AG93*AN$66</f>
        <v>0</v>
      </c>
      <c r="AQ93" s="172">
        <v>500</v>
      </c>
      <c r="AR93" s="294"/>
      <c r="AS93" s="294"/>
      <c r="AT93" s="294"/>
      <c r="AU93" s="242"/>
      <c r="AV93" s="317">
        <f>SUM(AQ93:AU93)</f>
        <v>500</v>
      </c>
      <c r="AW93" s="348">
        <v>1</v>
      </c>
      <c r="AX93" s="318"/>
      <c r="AY93" s="249"/>
      <c r="AZ93" s="248"/>
      <c r="BA93" s="248"/>
      <c r="BB93" s="248"/>
      <c r="BC93" s="248"/>
      <c r="BD93" s="248"/>
      <c r="BE93" s="247"/>
      <c r="BF93" s="318"/>
      <c r="BH93" s="370"/>
      <c r="BI93" s="320"/>
      <c r="BJ93" s="320"/>
      <c r="BK93" s="320"/>
      <c r="BL93" s="165"/>
      <c r="BM93" s="319">
        <f>SUM(BH93:BL93)</f>
        <v>0</v>
      </c>
      <c r="BN93" s="348">
        <v>1</v>
      </c>
      <c r="BO93" s="318">
        <f>BM93*$G93*BN93</f>
        <v>0</v>
      </c>
      <c r="BP93" s="249"/>
      <c r="BQ93" s="248"/>
      <c r="BR93" s="248"/>
      <c r="BS93" s="248"/>
      <c r="BT93" s="248"/>
      <c r="BU93" s="248"/>
      <c r="BV93" s="247"/>
      <c r="BW93" s="318" t="e">
        <f>BO93*BV$66</f>
        <v>#REF!</v>
      </c>
      <c r="BY93" s="370"/>
      <c r="BZ93" s="369"/>
      <c r="CA93" s="369"/>
      <c r="CB93" s="320"/>
      <c r="CC93" s="165"/>
      <c r="CD93" s="319">
        <f>SUM(BY93:CC93)</f>
        <v>0</v>
      </c>
      <c r="CE93" s="348">
        <v>1</v>
      </c>
      <c r="CF93" s="318">
        <f>CD93*$G93*CE93</f>
        <v>0</v>
      </c>
      <c r="CG93" s="249"/>
      <c r="CH93" s="248"/>
      <c r="CI93" s="248"/>
      <c r="CJ93" s="248"/>
      <c r="CK93" s="248"/>
      <c r="CL93" s="248"/>
      <c r="CM93" s="247"/>
      <c r="CN93" s="318" t="e">
        <f>CF93*CM$66</f>
        <v>#REF!</v>
      </c>
      <c r="CP93" s="6"/>
      <c r="CQ93" s="233">
        <f>SUMIF(I$1:CO$1,1,I93:CO93)</f>
        <v>0</v>
      </c>
      <c r="CR93" s="6"/>
      <c r="CS93" s="233" t="e">
        <f>SUMIF(I$1:CO$1,2,I93:CO93)</f>
        <v>#REF!</v>
      </c>
      <c r="CU93" s="233">
        <f>SUMIF(I$1:CO$1,3,I93:CO93)</f>
        <v>980</v>
      </c>
      <c r="CW93" s="270"/>
      <c r="CX93" s="270"/>
    </row>
    <row r="94" spans="1:102" ht="15" customHeight="1" x14ac:dyDescent="0.25">
      <c r="A94" s="245"/>
      <c r="B94" s="257" t="s">
        <v>178</v>
      </c>
      <c r="C94" s="72" t="s">
        <v>57</v>
      </c>
      <c r="D94" s="255" t="s">
        <v>175</v>
      </c>
      <c r="E94" s="386"/>
      <c r="F94" s="308"/>
      <c r="G94" s="308">
        <f>F94</f>
        <v>0</v>
      </c>
      <c r="I94" s="344"/>
      <c r="J94" s="343"/>
      <c r="K94" s="343"/>
      <c r="L94" s="343"/>
      <c r="M94" s="347"/>
      <c r="N94" s="243">
        <f>SUM(I94:M94)</f>
        <v>0</v>
      </c>
      <c r="O94" s="349">
        <v>1</v>
      </c>
      <c r="P94" s="235"/>
      <c r="Q94" s="249"/>
      <c r="R94" s="248"/>
      <c r="S94" s="248"/>
      <c r="T94" s="248"/>
      <c r="U94" s="248"/>
      <c r="V94" s="248"/>
      <c r="W94" s="247"/>
      <c r="X94" s="318">
        <f>P94*W$66</f>
        <v>0</v>
      </c>
      <c r="Z94" s="344"/>
      <c r="AA94" s="385"/>
      <c r="AB94" s="346"/>
      <c r="AC94" s="346"/>
      <c r="AD94" s="345"/>
      <c r="AE94" s="243">
        <f>SUM(Z94:AD94)</f>
        <v>0</v>
      </c>
      <c r="AF94" s="349">
        <v>1</v>
      </c>
      <c r="AG94" s="235"/>
      <c r="AH94" s="249"/>
      <c r="AI94" s="248"/>
      <c r="AJ94" s="248"/>
      <c r="AK94" s="248"/>
      <c r="AL94" s="248"/>
      <c r="AM94" s="248"/>
      <c r="AN94" s="247"/>
      <c r="AO94" s="318">
        <f>AG94*AN$66</f>
        <v>0</v>
      </c>
      <c r="AQ94" s="344"/>
      <c r="AR94" s="343"/>
      <c r="AS94" s="343"/>
      <c r="AT94" s="343"/>
      <c r="AU94" s="342"/>
      <c r="AV94" s="241">
        <f>SUM(AQ94:AU94)</f>
        <v>0</v>
      </c>
      <c r="AW94" s="349">
        <v>1</v>
      </c>
      <c r="AX94" s="235"/>
      <c r="AY94" s="249"/>
      <c r="AZ94" s="248"/>
      <c r="BA94" s="248"/>
      <c r="BB94" s="248"/>
      <c r="BC94" s="248"/>
      <c r="BD94" s="248"/>
      <c r="BE94" s="247"/>
      <c r="BF94" s="318"/>
      <c r="BH94" s="367"/>
      <c r="BI94" s="339"/>
      <c r="BJ94" s="339"/>
      <c r="BK94" s="339"/>
      <c r="BL94" s="338"/>
      <c r="BM94" s="240">
        <f>SUM(BH94:BL94)</f>
        <v>0</v>
      </c>
      <c r="BN94" s="349">
        <v>1</v>
      </c>
      <c r="BO94" s="235">
        <f>BM94*$G94*BN94</f>
        <v>0</v>
      </c>
      <c r="BP94" s="249"/>
      <c r="BQ94" s="248"/>
      <c r="BR94" s="248"/>
      <c r="BS94" s="248"/>
      <c r="BT94" s="248"/>
      <c r="BU94" s="248"/>
      <c r="BV94" s="247"/>
      <c r="BW94" s="318" t="e">
        <f>BO94*BV$66</f>
        <v>#REF!</v>
      </c>
      <c r="BY94" s="367"/>
      <c r="BZ94" s="339"/>
      <c r="CA94" s="339"/>
      <c r="CB94" s="339"/>
      <c r="CC94" s="338"/>
      <c r="CD94" s="240">
        <f>SUM(BY94:CC94)</f>
        <v>0</v>
      </c>
      <c r="CE94" s="349">
        <v>1</v>
      </c>
      <c r="CF94" s="235">
        <f>CD94*$G94*CE94</f>
        <v>0</v>
      </c>
      <c r="CG94" s="249"/>
      <c r="CH94" s="248"/>
      <c r="CI94" s="248"/>
      <c r="CJ94" s="248"/>
      <c r="CK94" s="248"/>
      <c r="CL94" s="248"/>
      <c r="CM94" s="247"/>
      <c r="CN94" s="318" t="e">
        <f>CF94*CM$66</f>
        <v>#REF!</v>
      </c>
      <c r="CP94" s="6"/>
      <c r="CQ94" s="233">
        <f>SUMIF(I$1:CO$1,1,I94:CO94)</f>
        <v>0</v>
      </c>
      <c r="CR94" s="6"/>
      <c r="CS94" s="233" t="e">
        <f>SUMIF(I$1:CO$1,2,I94:CO94)</f>
        <v>#REF!</v>
      </c>
      <c r="CU94" s="233">
        <f>SUMIF(I$1:CO$1,3,I94:CO94)</f>
        <v>0</v>
      </c>
      <c r="CW94" s="270"/>
      <c r="CX94" s="270"/>
    </row>
    <row r="95" spans="1:102" ht="15" customHeight="1" x14ac:dyDescent="0.25">
      <c r="A95" s="245"/>
      <c r="B95" s="244"/>
      <c r="C95" s="72" t="s">
        <v>56</v>
      </c>
      <c r="D95" s="255" t="s">
        <v>175</v>
      </c>
      <c r="E95" s="386"/>
      <c r="F95" s="308"/>
      <c r="G95" s="308">
        <f>F95</f>
        <v>0</v>
      </c>
      <c r="I95" s="344"/>
      <c r="J95" s="343"/>
      <c r="K95" s="343"/>
      <c r="L95" s="343"/>
      <c r="M95" s="347"/>
      <c r="N95" s="321">
        <f>SUM(I95:M95)</f>
        <v>0</v>
      </c>
      <c r="O95" s="348">
        <v>1</v>
      </c>
      <c r="P95" s="318"/>
      <c r="Q95" s="249"/>
      <c r="R95" s="248"/>
      <c r="S95" s="248"/>
      <c r="T95" s="248"/>
      <c r="U95" s="248"/>
      <c r="V95" s="248"/>
      <c r="W95" s="247"/>
      <c r="X95" s="318">
        <f>P95*W$66</f>
        <v>0</v>
      </c>
      <c r="Z95" s="344"/>
      <c r="AA95" s="385"/>
      <c r="AB95" s="346"/>
      <c r="AC95" s="346"/>
      <c r="AD95" s="345"/>
      <c r="AE95" s="321">
        <f>SUM(Z95:AD95)</f>
        <v>0</v>
      </c>
      <c r="AF95" s="348">
        <v>1</v>
      </c>
      <c r="AG95" s="318"/>
      <c r="AH95" s="249"/>
      <c r="AI95" s="248"/>
      <c r="AJ95" s="248"/>
      <c r="AK95" s="248"/>
      <c r="AL95" s="248"/>
      <c r="AM95" s="248"/>
      <c r="AN95" s="247"/>
      <c r="AO95" s="318">
        <f>AG95*AN$66</f>
        <v>0</v>
      </c>
      <c r="AQ95" s="344"/>
      <c r="AR95" s="343"/>
      <c r="AS95" s="343"/>
      <c r="AT95" s="343"/>
      <c r="AU95" s="342"/>
      <c r="AV95" s="317">
        <f>SUM(AQ95:AU95)</f>
        <v>0</v>
      </c>
      <c r="AW95" s="348">
        <v>1</v>
      </c>
      <c r="AX95" s="318"/>
      <c r="AY95" s="249"/>
      <c r="AZ95" s="248"/>
      <c r="BA95" s="248"/>
      <c r="BB95" s="248"/>
      <c r="BC95" s="248"/>
      <c r="BD95" s="248"/>
      <c r="BE95" s="247"/>
      <c r="BF95" s="318"/>
      <c r="BH95" s="367"/>
      <c r="BI95" s="339"/>
      <c r="BJ95" s="339"/>
      <c r="BK95" s="339"/>
      <c r="BL95" s="338"/>
      <c r="BM95" s="319">
        <f>SUM(BH95:BL95)</f>
        <v>0</v>
      </c>
      <c r="BN95" s="348">
        <v>1</v>
      </c>
      <c r="BO95" s="318">
        <f>BM95*$G95*BN95</f>
        <v>0</v>
      </c>
      <c r="BP95" s="249"/>
      <c r="BQ95" s="248"/>
      <c r="BR95" s="248"/>
      <c r="BS95" s="248"/>
      <c r="BT95" s="248"/>
      <c r="BU95" s="248"/>
      <c r="BV95" s="247"/>
      <c r="BW95" s="318" t="e">
        <f>BO95*BV$66</f>
        <v>#REF!</v>
      </c>
      <c r="BY95" s="367"/>
      <c r="BZ95" s="339"/>
      <c r="CA95" s="339"/>
      <c r="CB95" s="339"/>
      <c r="CC95" s="338"/>
      <c r="CD95" s="319">
        <f>SUM(BY95:CC95)</f>
        <v>0</v>
      </c>
      <c r="CE95" s="348">
        <v>1</v>
      </c>
      <c r="CF95" s="318">
        <f>CD95*$G95*CE95</f>
        <v>0</v>
      </c>
      <c r="CG95" s="249"/>
      <c r="CH95" s="248"/>
      <c r="CI95" s="248"/>
      <c r="CJ95" s="248"/>
      <c r="CK95" s="248"/>
      <c r="CL95" s="248"/>
      <c r="CM95" s="247"/>
      <c r="CN95" s="318" t="e">
        <f>CF95*CM$66</f>
        <v>#REF!</v>
      </c>
      <c r="CP95" s="6"/>
      <c r="CQ95" s="233">
        <f>SUMIF(I$1:CO$1,1,I95:CO95)</f>
        <v>0</v>
      </c>
      <c r="CR95" s="6"/>
      <c r="CS95" s="233" t="e">
        <f>SUMIF(I$1:CO$1,2,I95:CO95)</f>
        <v>#REF!</v>
      </c>
      <c r="CU95" s="233">
        <f>SUMIF(I$1:CO$1,3,I95:CO95)</f>
        <v>0</v>
      </c>
      <c r="CW95" s="270"/>
      <c r="CX95" s="270"/>
    </row>
    <row r="96" spans="1:102" ht="15" customHeight="1" x14ac:dyDescent="0.25">
      <c r="A96" s="245"/>
      <c r="B96" s="244"/>
      <c r="C96" s="72" t="s">
        <v>55</v>
      </c>
      <c r="D96" s="255" t="s">
        <v>175</v>
      </c>
      <c r="E96" s="386"/>
      <c r="F96" s="308"/>
      <c r="G96" s="308">
        <f>F96</f>
        <v>0</v>
      </c>
      <c r="I96" s="344"/>
      <c r="J96" s="343"/>
      <c r="K96" s="343"/>
      <c r="L96" s="343"/>
      <c r="M96" s="347"/>
      <c r="N96" s="321">
        <f>SUM(I96:M96)</f>
        <v>0</v>
      </c>
      <c r="O96" s="348">
        <v>1</v>
      </c>
      <c r="P96" s="318"/>
      <c r="Q96" s="249"/>
      <c r="R96" s="248"/>
      <c r="S96" s="248"/>
      <c r="T96" s="248"/>
      <c r="U96" s="248"/>
      <c r="V96" s="248"/>
      <c r="W96" s="247"/>
      <c r="X96" s="318">
        <f>P96*W$66</f>
        <v>0</v>
      </c>
      <c r="Z96" s="344"/>
      <c r="AA96" s="385"/>
      <c r="AB96" s="346"/>
      <c r="AC96" s="346"/>
      <c r="AD96" s="345"/>
      <c r="AE96" s="321">
        <f>SUM(Z96:AD96)</f>
        <v>0</v>
      </c>
      <c r="AF96" s="348">
        <v>1</v>
      </c>
      <c r="AG96" s="318"/>
      <c r="AH96" s="249"/>
      <c r="AI96" s="248"/>
      <c r="AJ96" s="248"/>
      <c r="AK96" s="248"/>
      <c r="AL96" s="248"/>
      <c r="AM96" s="248"/>
      <c r="AN96" s="247"/>
      <c r="AO96" s="318">
        <f>AG96*AN$66</f>
        <v>0</v>
      </c>
      <c r="AQ96" s="344"/>
      <c r="AR96" s="343"/>
      <c r="AS96" s="343"/>
      <c r="AT96" s="343"/>
      <c r="AU96" s="342"/>
      <c r="AV96" s="317">
        <f>SUM(AQ96:AU96)</f>
        <v>0</v>
      </c>
      <c r="AW96" s="348">
        <v>1</v>
      </c>
      <c r="AX96" s="318"/>
      <c r="AY96" s="249"/>
      <c r="AZ96" s="248"/>
      <c r="BA96" s="248"/>
      <c r="BB96" s="248"/>
      <c r="BC96" s="248"/>
      <c r="BD96" s="248"/>
      <c r="BE96" s="247"/>
      <c r="BF96" s="318"/>
      <c r="BH96" s="367"/>
      <c r="BI96" s="339"/>
      <c r="BJ96" s="339"/>
      <c r="BK96" s="339"/>
      <c r="BL96" s="338"/>
      <c r="BM96" s="319">
        <f>SUM(BH96:BL96)</f>
        <v>0</v>
      </c>
      <c r="BN96" s="348">
        <v>1</v>
      </c>
      <c r="BO96" s="318">
        <f>BM96*$G96*BN96</f>
        <v>0</v>
      </c>
      <c r="BP96" s="249"/>
      <c r="BQ96" s="248"/>
      <c r="BR96" s="248"/>
      <c r="BS96" s="248"/>
      <c r="BT96" s="248"/>
      <c r="BU96" s="248"/>
      <c r="BV96" s="247"/>
      <c r="BW96" s="318" t="e">
        <f>BO96*BV$66</f>
        <v>#REF!</v>
      </c>
      <c r="BY96" s="367"/>
      <c r="BZ96" s="339"/>
      <c r="CA96" s="339"/>
      <c r="CB96" s="339"/>
      <c r="CC96" s="338"/>
      <c r="CD96" s="319">
        <f>SUM(BY96:CC96)</f>
        <v>0</v>
      </c>
      <c r="CE96" s="348">
        <v>1</v>
      </c>
      <c r="CF96" s="318">
        <f>CD96*$G96*CE96</f>
        <v>0</v>
      </c>
      <c r="CG96" s="249"/>
      <c r="CH96" s="248"/>
      <c r="CI96" s="248"/>
      <c r="CJ96" s="248"/>
      <c r="CK96" s="248"/>
      <c r="CL96" s="248"/>
      <c r="CM96" s="247"/>
      <c r="CN96" s="318" t="e">
        <f>CF96*CM$66</f>
        <v>#REF!</v>
      </c>
      <c r="CP96" s="6"/>
      <c r="CQ96" s="233">
        <f>SUMIF(I$1:CO$1,1,I96:CO96)</f>
        <v>0</v>
      </c>
      <c r="CR96" s="6"/>
      <c r="CS96" s="233" t="e">
        <f>SUMIF(I$1:CO$1,2,I96:CO96)</f>
        <v>#REF!</v>
      </c>
      <c r="CU96" s="233">
        <f>SUMIF(I$1:CO$1,3,I96:CO96)</f>
        <v>0</v>
      </c>
      <c r="CW96" s="270"/>
      <c r="CX96" s="270"/>
    </row>
    <row r="97" spans="1:102" ht="15" customHeight="1" x14ac:dyDescent="0.25">
      <c r="A97" s="245"/>
      <c r="B97" s="244"/>
      <c r="C97" s="72" t="s">
        <v>54</v>
      </c>
      <c r="D97" s="252" t="s">
        <v>412</v>
      </c>
      <c r="E97" s="174" t="s">
        <v>106</v>
      </c>
      <c r="F97" s="292"/>
      <c r="G97" s="292">
        <f>F97</f>
        <v>0</v>
      </c>
      <c r="I97" s="344">
        <v>6.8837032799999998</v>
      </c>
      <c r="J97" s="343"/>
      <c r="K97" s="343"/>
      <c r="L97" s="343"/>
      <c r="M97" s="347"/>
      <c r="N97" s="243"/>
      <c r="O97" s="239"/>
      <c r="P97" s="235"/>
      <c r="Q97" s="249"/>
      <c r="R97" s="248"/>
      <c r="S97" s="248"/>
      <c r="T97" s="248"/>
      <c r="U97" s="248"/>
      <c r="V97" s="248"/>
      <c r="W97" s="247"/>
      <c r="X97" s="318">
        <f>P97*W$66</f>
        <v>0</v>
      </c>
      <c r="Z97" s="344"/>
      <c r="AA97" s="384"/>
      <c r="AB97" s="346"/>
      <c r="AC97" s="346"/>
      <c r="AD97" s="345"/>
      <c r="AE97" s="243"/>
      <c r="AF97" s="239"/>
      <c r="AG97" s="235"/>
      <c r="AH97" s="249"/>
      <c r="AI97" s="248"/>
      <c r="AJ97" s="248"/>
      <c r="AK97" s="248"/>
      <c r="AL97" s="248"/>
      <c r="AM97" s="248"/>
      <c r="AN97" s="247"/>
      <c r="AO97" s="318">
        <f>AG97*AN$66</f>
        <v>0</v>
      </c>
      <c r="AQ97" s="344"/>
      <c r="AR97" s="364"/>
      <c r="AS97" s="364"/>
      <c r="AT97" s="364"/>
      <c r="AU97" s="382"/>
      <c r="AV97" s="241"/>
      <c r="AW97" s="239"/>
      <c r="AX97" s="235"/>
      <c r="AY97" s="249"/>
      <c r="AZ97" s="248"/>
      <c r="BA97" s="248"/>
      <c r="BB97" s="248"/>
      <c r="BC97" s="248"/>
      <c r="BD97" s="248"/>
      <c r="BE97" s="247"/>
      <c r="BF97" s="318"/>
      <c r="BH97" s="367"/>
      <c r="BI97" s="339"/>
      <c r="BJ97" s="339"/>
      <c r="BK97" s="339"/>
      <c r="BL97" s="338"/>
      <c r="BM97" s="240"/>
      <c r="BN97" s="239"/>
      <c r="BO97" s="235">
        <f>SUM(BH97:BL97)</f>
        <v>0</v>
      </c>
      <c r="BP97" s="249"/>
      <c r="BQ97" s="248"/>
      <c r="BR97" s="248"/>
      <c r="BS97" s="248"/>
      <c r="BT97" s="248"/>
      <c r="BU97" s="248"/>
      <c r="BV97" s="247"/>
      <c r="BW97" s="318" t="e">
        <f>BO97*BV$66</f>
        <v>#REF!</v>
      </c>
      <c r="BY97" s="367"/>
      <c r="BZ97" s="339"/>
      <c r="CA97" s="339"/>
      <c r="CB97" s="339"/>
      <c r="CC97" s="338"/>
      <c r="CD97" s="240"/>
      <c r="CE97" s="239"/>
      <c r="CF97" s="235">
        <f>SUM(BY97:CC97)</f>
        <v>0</v>
      </c>
      <c r="CG97" s="249"/>
      <c r="CH97" s="248"/>
      <c r="CI97" s="248"/>
      <c r="CJ97" s="248"/>
      <c r="CK97" s="248"/>
      <c r="CL97" s="248"/>
      <c r="CM97" s="247"/>
      <c r="CN97" s="318" t="e">
        <f>CF97*CM$66</f>
        <v>#REF!</v>
      </c>
      <c r="CP97" s="6"/>
      <c r="CQ97" s="233">
        <f>SUMIF(I$1:CO$1,1,I97:CO97)</f>
        <v>0</v>
      </c>
      <c r="CR97" s="6"/>
      <c r="CS97" s="233" t="e">
        <f>SUMIF(I$1:CO$1,2,I97:CO97)</f>
        <v>#REF!</v>
      </c>
      <c r="CU97" s="246"/>
      <c r="CW97" s="270"/>
      <c r="CX97" s="270"/>
    </row>
    <row r="98" spans="1:102" ht="15" customHeight="1" x14ac:dyDescent="0.25">
      <c r="A98" s="245"/>
      <c r="B98" s="244"/>
      <c r="C98" s="72" t="s">
        <v>53</v>
      </c>
      <c r="D98" s="324" t="s">
        <v>411</v>
      </c>
      <c r="E98" s="174" t="s">
        <v>106</v>
      </c>
      <c r="F98" s="292"/>
      <c r="G98" s="292">
        <f>F98</f>
        <v>0</v>
      </c>
      <c r="I98" s="172">
        <v>6.7800559999999996E-2</v>
      </c>
      <c r="J98" s="294"/>
      <c r="K98" s="294">
        <f>0.71309692+2.14653869</f>
        <v>2.8596356099999998</v>
      </c>
      <c r="L98" s="294">
        <v>0.32325025000000002</v>
      </c>
      <c r="M98" s="322">
        <v>0.47037300999999998</v>
      </c>
      <c r="N98" s="243"/>
      <c r="O98" s="239"/>
      <c r="P98" s="235"/>
      <c r="Q98" s="238"/>
      <c r="R98" s="237"/>
      <c r="S98" s="237"/>
      <c r="T98" s="237"/>
      <c r="U98" s="237"/>
      <c r="V98" s="237"/>
      <c r="W98" s="236"/>
      <c r="X98" s="318">
        <f>P98*W$66</f>
        <v>0</v>
      </c>
      <c r="Z98" s="172">
        <v>0.78870580000000001</v>
      </c>
      <c r="AA98" s="383">
        <v>0.81003385000000006</v>
      </c>
      <c r="AB98" s="171">
        <v>0.50271602999999998</v>
      </c>
      <c r="AC98" s="171">
        <v>0.99894632000000005</v>
      </c>
      <c r="AD98" s="170">
        <v>0.77895749000000003</v>
      </c>
      <c r="AE98" s="243"/>
      <c r="AF98" s="239"/>
      <c r="AG98" s="235"/>
      <c r="AH98" s="238"/>
      <c r="AI98" s="237"/>
      <c r="AJ98" s="237"/>
      <c r="AK98" s="237"/>
      <c r="AL98" s="237"/>
      <c r="AM98" s="237"/>
      <c r="AN98" s="236"/>
      <c r="AO98" s="318">
        <f>AG98*AN$66</f>
        <v>0</v>
      </c>
      <c r="AQ98" s="172">
        <f>1.21457371+1.09853762</f>
        <v>2.3131113299999999</v>
      </c>
      <c r="AR98" s="363"/>
      <c r="AS98" s="363"/>
      <c r="AT98" s="363"/>
      <c r="AU98" s="382"/>
      <c r="AV98" s="241"/>
      <c r="AW98" s="239"/>
      <c r="AX98" s="235"/>
      <c r="AY98" s="238"/>
      <c r="AZ98" s="237"/>
      <c r="BA98" s="237"/>
      <c r="BB98" s="237"/>
      <c r="BC98" s="237"/>
      <c r="BD98" s="237"/>
      <c r="BE98" s="236"/>
      <c r="BF98" s="318"/>
      <c r="BH98" s="367"/>
      <c r="BI98" s="339"/>
      <c r="BJ98" s="339"/>
      <c r="BK98" s="339"/>
      <c r="BL98" s="338"/>
      <c r="BM98" s="240"/>
      <c r="BN98" s="239"/>
      <c r="BO98" s="235">
        <f>SUM(BH98:BL98)</f>
        <v>0</v>
      </c>
      <c r="BP98" s="238"/>
      <c r="BQ98" s="237"/>
      <c r="BR98" s="237"/>
      <c r="BS98" s="237"/>
      <c r="BT98" s="237"/>
      <c r="BU98" s="237"/>
      <c r="BV98" s="236"/>
      <c r="BW98" s="318" t="e">
        <f>BO98*BV$66</f>
        <v>#REF!</v>
      </c>
      <c r="BY98" s="367"/>
      <c r="BZ98" s="339"/>
      <c r="CA98" s="339"/>
      <c r="CB98" s="339"/>
      <c r="CC98" s="338"/>
      <c r="CD98" s="381"/>
      <c r="CE98" s="239"/>
      <c r="CF98" s="235">
        <f>SUM(BY98:CC98)</f>
        <v>0</v>
      </c>
      <c r="CG98" s="238"/>
      <c r="CH98" s="237"/>
      <c r="CI98" s="237"/>
      <c r="CJ98" s="237"/>
      <c r="CK98" s="237"/>
      <c r="CL98" s="237"/>
      <c r="CM98" s="236"/>
      <c r="CN98" s="318" t="e">
        <f>CF98*CM$66</f>
        <v>#REF!</v>
      </c>
      <c r="CP98" s="6"/>
      <c r="CQ98" s="233">
        <f>SUMIF(I$1:CO$1,1,I98:CO98)</f>
        <v>0</v>
      </c>
      <c r="CR98" s="6"/>
      <c r="CS98" s="233" t="e">
        <f>SUMIF(I$1:CO$1,2,I98:CO98)</f>
        <v>#REF!</v>
      </c>
      <c r="CU98" s="246"/>
      <c r="CW98" s="270"/>
      <c r="CX98" s="270"/>
    </row>
    <row r="99" spans="1:102" ht="15" customHeight="1" thickBot="1" x14ac:dyDescent="0.3">
      <c r="A99" s="232"/>
      <c r="B99" s="231"/>
      <c r="C99" s="229"/>
      <c r="D99" s="230" t="s">
        <v>148</v>
      </c>
      <c r="E99" s="229"/>
      <c r="F99" s="289"/>
      <c r="G99" s="289"/>
      <c r="I99" s="227"/>
      <c r="J99" s="226"/>
      <c r="K99" s="226"/>
      <c r="L99" s="226"/>
      <c r="M99" s="225"/>
      <c r="N99" s="224"/>
      <c r="O99" s="218"/>
      <c r="P99" s="217"/>
      <c r="Q99" s="219"/>
      <c r="R99" s="219"/>
      <c r="S99" s="219"/>
      <c r="T99" s="219"/>
      <c r="U99" s="219"/>
      <c r="V99" s="219"/>
      <c r="W99" s="218"/>
      <c r="X99" s="217">
        <f>SUM(X66:X98)</f>
        <v>0</v>
      </c>
      <c r="Z99" s="304"/>
      <c r="AA99" s="305"/>
      <c r="AB99" s="305"/>
      <c r="AC99" s="305"/>
      <c r="AD99" s="289"/>
      <c r="AE99" s="224"/>
      <c r="AF99" s="218"/>
      <c r="AG99" s="217"/>
      <c r="AH99" s="219"/>
      <c r="AI99" s="219"/>
      <c r="AJ99" s="219"/>
      <c r="AK99" s="219"/>
      <c r="AL99" s="219"/>
      <c r="AM99" s="219"/>
      <c r="AN99" s="218"/>
      <c r="AO99" s="217">
        <f>SUM(AO66:AO98)</f>
        <v>0</v>
      </c>
      <c r="AQ99" s="304"/>
      <c r="AR99" s="226"/>
      <c r="AS99" s="226"/>
      <c r="AT99" s="226"/>
      <c r="AU99" s="226"/>
      <c r="AV99" s="223"/>
      <c r="AW99" s="218"/>
      <c r="AX99" s="217"/>
      <c r="AY99" s="219"/>
      <c r="AZ99" s="219"/>
      <c r="BA99" s="219"/>
      <c r="BB99" s="219"/>
      <c r="BC99" s="219"/>
      <c r="BD99" s="219"/>
      <c r="BE99" s="218"/>
      <c r="BF99" s="217"/>
      <c r="BH99" s="380"/>
      <c r="BI99" s="221"/>
      <c r="BJ99" s="221"/>
      <c r="BK99" s="221"/>
      <c r="BL99" s="221"/>
      <c r="BM99" s="220"/>
      <c r="BN99" s="218"/>
      <c r="BO99" s="217">
        <f>SUM(BO66:BO98)</f>
        <v>0</v>
      </c>
      <c r="BP99" s="219"/>
      <c r="BQ99" s="219"/>
      <c r="BR99" s="219"/>
      <c r="BS99" s="219"/>
      <c r="BT99" s="219"/>
      <c r="BU99" s="219"/>
      <c r="BV99" s="218"/>
      <c r="BW99" s="217" t="e">
        <f>SUM(BW66:BW98)</f>
        <v>#REF!</v>
      </c>
      <c r="BY99" s="380"/>
      <c r="BZ99" s="221"/>
      <c r="CA99" s="221"/>
      <c r="CB99" s="221"/>
      <c r="CC99" s="221"/>
      <c r="CD99" s="220"/>
      <c r="CE99" s="218"/>
      <c r="CF99" s="217">
        <f>SUM(CF66:CF98)</f>
        <v>0</v>
      </c>
      <c r="CG99" s="219"/>
      <c r="CH99" s="219"/>
      <c r="CI99" s="219"/>
      <c r="CJ99" s="219"/>
      <c r="CK99" s="219"/>
      <c r="CL99" s="219"/>
      <c r="CM99" s="218"/>
      <c r="CN99" s="217" t="e">
        <f>SUM(CN66:CN98)</f>
        <v>#REF!</v>
      </c>
      <c r="CP99" s="6"/>
      <c r="CQ99" s="139">
        <f>SUM(CQ66:CQ98)</f>
        <v>0</v>
      </c>
      <c r="CR99" s="6"/>
      <c r="CS99" s="139" t="e">
        <f>SUM(CS66:CS98)</f>
        <v>#REF!</v>
      </c>
      <c r="CU99" s="139"/>
      <c r="CW99" s="270"/>
      <c r="CX99" s="270"/>
    </row>
    <row r="100" spans="1:102" ht="15" customHeight="1" x14ac:dyDescent="0.25">
      <c r="A100" s="288" t="s">
        <v>141</v>
      </c>
      <c r="B100" s="303" t="s">
        <v>410</v>
      </c>
      <c r="C100" s="379" t="s">
        <v>409</v>
      </c>
      <c r="D100" s="286" t="s">
        <v>408</v>
      </c>
      <c r="E100" s="285" t="s">
        <v>401</v>
      </c>
      <c r="F100" s="316">
        <f>((0.004*(1.014*1.012*1.015)*1.1/1.13)*1.028)*(1.058)</f>
        <v>4.4110047465661176E-3</v>
      </c>
      <c r="G100" s="262">
        <f>F100*$G$1</f>
        <v>0</v>
      </c>
      <c r="I100" s="182"/>
      <c r="J100" s="301"/>
      <c r="K100" s="301"/>
      <c r="L100" s="301"/>
      <c r="M100" s="357"/>
      <c r="N100" s="321">
        <f>SUM(I100:M100)</f>
        <v>0</v>
      </c>
      <c r="O100" s="205">
        <v>1</v>
      </c>
      <c r="P100" s="366"/>
      <c r="Q100" s="237"/>
      <c r="R100" s="237"/>
      <c r="S100" s="237"/>
      <c r="T100" s="237"/>
      <c r="U100" s="237"/>
      <c r="V100" s="237"/>
      <c r="W100" s="273"/>
      <c r="X100" s="318">
        <f>P100*W$100</f>
        <v>0</v>
      </c>
      <c r="Z100" s="182">
        <f>Z68+Z71</f>
        <v>4290</v>
      </c>
      <c r="AA100" s="376"/>
      <c r="AB100" s="331">
        <f>AB68+AB71</f>
        <v>2830</v>
      </c>
      <c r="AC100" s="331"/>
      <c r="AD100" s="334">
        <f>AD68+AD71</f>
        <v>4243</v>
      </c>
      <c r="AE100" s="284">
        <f>SUM(Z100:AD100)</f>
        <v>11363</v>
      </c>
      <c r="AF100" s="205">
        <v>1</v>
      </c>
      <c r="AG100" s="272"/>
      <c r="AH100" s="237"/>
      <c r="AI100" s="237"/>
      <c r="AJ100" s="237"/>
      <c r="AK100" s="237"/>
      <c r="AL100" s="237"/>
      <c r="AM100" s="237"/>
      <c r="AN100" s="273"/>
      <c r="AO100" s="318">
        <f>AG100*AN$100</f>
        <v>0</v>
      </c>
      <c r="AQ100" s="182"/>
      <c r="AR100" s="301"/>
      <c r="AS100" s="301"/>
      <c r="AT100" s="301"/>
      <c r="AU100" s="282"/>
      <c r="AV100" s="281">
        <f>SUM(AQ100:AU100)</f>
        <v>0</v>
      </c>
      <c r="AW100" s="205">
        <v>1</v>
      </c>
      <c r="AX100" s="272"/>
      <c r="AY100" s="237"/>
      <c r="AZ100" s="237"/>
      <c r="BA100" s="237"/>
      <c r="BB100" s="237"/>
      <c r="BC100" s="237"/>
      <c r="BD100" s="237"/>
      <c r="BE100" s="273"/>
      <c r="BF100" s="318"/>
      <c r="BH100" s="374"/>
      <c r="BI100" s="373"/>
      <c r="BJ100" s="373"/>
      <c r="BK100" s="373"/>
      <c r="BL100" s="372"/>
      <c r="BM100" s="277">
        <f>SUM(BH100:BL100)</f>
        <v>0</v>
      </c>
      <c r="BN100" s="205">
        <v>1</v>
      </c>
      <c r="BO100" s="272">
        <f>$G100*BM100*BN100</f>
        <v>0</v>
      </c>
      <c r="BP100" s="237" t="e">
        <f>VLOOKUP(BP5,#REF!,7,FALSE)/100+1</f>
        <v>#REF!</v>
      </c>
      <c r="BQ100" s="237" t="e">
        <f>VLOOKUP(BQ5,#REF!,7,FALSE)/100+1</f>
        <v>#REF!</v>
      </c>
      <c r="BR100" s="237" t="e">
        <f>VLOOKUP(BR5,#REF!,7,FALSE)/100+1</f>
        <v>#REF!</v>
      </c>
      <c r="BS100" s="237" t="e">
        <f>VLOOKUP(BS5,#REF!,7,FALSE)/100+1</f>
        <v>#REF!</v>
      </c>
      <c r="BT100" s="237" t="e">
        <f>VLOOKUP(BT5,#REF!,7,FALSE)/100+1</f>
        <v>#REF!</v>
      </c>
      <c r="BU100" s="237" t="e">
        <f>VLOOKUP(BU5,#REF!,7,FALSE)/100+1</f>
        <v>#REF!</v>
      </c>
      <c r="BV100" s="273" t="e">
        <f>BP100*BQ100*BR100*BS100*BT100*BU100</f>
        <v>#REF!</v>
      </c>
      <c r="BW100" s="318" t="e">
        <f>BO100*BV$100</f>
        <v>#REF!</v>
      </c>
      <c r="BY100" s="374"/>
      <c r="BZ100" s="373"/>
      <c r="CA100" s="373"/>
      <c r="CB100" s="373"/>
      <c r="CC100" s="372"/>
      <c r="CD100" s="277">
        <f>SUM(BY100:CC100)</f>
        <v>0</v>
      </c>
      <c r="CE100" s="205">
        <v>1</v>
      </c>
      <c r="CF100" s="272">
        <f>$G100*CD100*CE100</f>
        <v>0</v>
      </c>
      <c r="CG100" s="237" t="e">
        <f>VLOOKUP(CG5,#REF!,7,FALSE)/100+1</f>
        <v>#REF!</v>
      </c>
      <c r="CH100" s="237" t="e">
        <f>VLOOKUP(CH5,#REF!,7,FALSE)/100+1</f>
        <v>#REF!</v>
      </c>
      <c r="CI100" s="237" t="e">
        <f>VLOOKUP(CI5,#REF!,7,FALSE)/100+1</f>
        <v>#REF!</v>
      </c>
      <c r="CJ100" s="237" t="e">
        <f>VLOOKUP(CJ5,#REF!,7,FALSE)/100+1</f>
        <v>#REF!</v>
      </c>
      <c r="CK100" s="237" t="e">
        <f>VLOOKUP(CK5,#REF!,7,FALSE)/100+1</f>
        <v>#REF!</v>
      </c>
      <c r="CL100" s="237" t="e">
        <f>VLOOKUP(CL5,#REF!,7,FALSE)/100+1</f>
        <v>#REF!</v>
      </c>
      <c r="CM100" s="273" t="e">
        <f>CG100*CH100*CI100*CJ100*CK100*CL100</f>
        <v>#REF!</v>
      </c>
      <c r="CN100" s="318" t="e">
        <f>CF100*CM$100</f>
        <v>#REF!</v>
      </c>
      <c r="CP100" s="6"/>
      <c r="CQ100" s="271">
        <f>SUMIF(I$1:CO$1,1,I100:CO100)</f>
        <v>0</v>
      </c>
      <c r="CR100" s="6"/>
      <c r="CS100" s="271" t="e">
        <f>SUMIF(I$1:CO$1,2,I100:CO100)</f>
        <v>#REF!</v>
      </c>
      <c r="CU100" s="271">
        <f>SUMIF(I$1:CO$1,3,I100:CO100)</f>
        <v>11363</v>
      </c>
      <c r="CW100" s="270"/>
      <c r="CX100" s="270"/>
    </row>
    <row r="101" spans="1:102" ht="15" customHeight="1" x14ac:dyDescent="0.25">
      <c r="A101" s="245"/>
      <c r="B101" s="267"/>
      <c r="C101" s="72" t="s">
        <v>407</v>
      </c>
      <c r="D101" s="265" t="s">
        <v>406</v>
      </c>
      <c r="E101" s="72" t="s">
        <v>401</v>
      </c>
      <c r="F101" s="263">
        <f>((0.0042*(1.014*1.012*1.015)*1.1/1.13)*1.028)*(1.058)</f>
        <v>4.6315549838944229E-3</v>
      </c>
      <c r="G101" s="262">
        <f>F101*$G$1</f>
        <v>0</v>
      </c>
      <c r="I101" s="172"/>
      <c r="J101" s="294"/>
      <c r="K101" s="294">
        <f>K68+K71</f>
        <v>6258</v>
      </c>
      <c r="L101" s="294">
        <f>L68+L71</f>
        <v>1260</v>
      </c>
      <c r="M101" s="322">
        <f>M68+M71</f>
        <v>4932</v>
      </c>
      <c r="N101" s="321">
        <f>SUM(I101:M101)</f>
        <v>12450</v>
      </c>
      <c r="O101" s="183">
        <v>1</v>
      </c>
      <c r="P101" s="366"/>
      <c r="Q101" s="358"/>
      <c r="R101" s="358"/>
      <c r="S101" s="358"/>
      <c r="T101" s="358"/>
      <c r="U101" s="358"/>
      <c r="V101" s="358"/>
      <c r="W101" s="247"/>
      <c r="X101" s="318">
        <f>P101*W$100</f>
        <v>0</v>
      </c>
      <c r="Z101" s="172"/>
      <c r="AA101" s="376">
        <f>AA68+AA71</f>
        <v>8490</v>
      </c>
      <c r="AB101" s="171"/>
      <c r="AC101" s="171">
        <f>AC68+AC71</f>
        <v>10470</v>
      </c>
      <c r="AD101" s="170"/>
      <c r="AE101" s="321">
        <f>SUM(Z101:AD101)</f>
        <v>18960</v>
      </c>
      <c r="AF101" s="183">
        <v>1</v>
      </c>
      <c r="AG101" s="318"/>
      <c r="AH101" s="358"/>
      <c r="AI101" s="358"/>
      <c r="AJ101" s="358"/>
      <c r="AK101" s="358"/>
      <c r="AL101" s="358"/>
      <c r="AM101" s="358"/>
      <c r="AN101" s="247"/>
      <c r="AO101" s="318">
        <f>AG101*AN$100</f>
        <v>0</v>
      </c>
      <c r="AQ101" s="172">
        <f>AQ68+AQ71</f>
        <v>13820</v>
      </c>
      <c r="AR101" s="294"/>
      <c r="AS101" s="294"/>
      <c r="AT101" s="294"/>
      <c r="AU101" s="242"/>
      <c r="AV101" s="317">
        <f>SUM(AQ101:AU101)</f>
        <v>13820</v>
      </c>
      <c r="AW101" s="183">
        <v>1</v>
      </c>
      <c r="AX101" s="318"/>
      <c r="AY101" s="358"/>
      <c r="AZ101" s="358"/>
      <c r="BA101" s="358"/>
      <c r="BB101" s="358"/>
      <c r="BC101" s="358"/>
      <c r="BD101" s="358"/>
      <c r="BE101" s="247"/>
      <c r="BF101" s="318"/>
      <c r="BH101" s="370"/>
      <c r="BI101" s="320"/>
      <c r="BJ101" s="320"/>
      <c r="BK101" s="320"/>
      <c r="BL101" s="165"/>
      <c r="BM101" s="319">
        <f>SUM(BH101:BL101)</f>
        <v>0</v>
      </c>
      <c r="BN101" s="183">
        <v>1</v>
      </c>
      <c r="BO101" s="318">
        <f>$G101*BM101*BN101</f>
        <v>0</v>
      </c>
      <c r="BP101" s="358"/>
      <c r="BQ101" s="358"/>
      <c r="BR101" s="358"/>
      <c r="BS101" s="358"/>
      <c r="BT101" s="358"/>
      <c r="BU101" s="358"/>
      <c r="BV101" s="247"/>
      <c r="BW101" s="318" t="e">
        <f>BO101*BV$100</f>
        <v>#REF!</v>
      </c>
      <c r="BY101" s="370"/>
      <c r="BZ101" s="369"/>
      <c r="CA101" s="369"/>
      <c r="CB101" s="320"/>
      <c r="CC101" s="165"/>
      <c r="CD101" s="319">
        <f>SUM(BY101:CC101)</f>
        <v>0</v>
      </c>
      <c r="CE101" s="183">
        <v>1</v>
      </c>
      <c r="CF101" s="318">
        <f>$G101*CD101*CE101</f>
        <v>0</v>
      </c>
      <c r="CG101" s="358"/>
      <c r="CH101" s="358"/>
      <c r="CI101" s="358"/>
      <c r="CJ101" s="358"/>
      <c r="CK101" s="358"/>
      <c r="CL101" s="358"/>
      <c r="CM101" s="247"/>
      <c r="CN101" s="318" t="e">
        <f>CF101*CM$100</f>
        <v>#REF!</v>
      </c>
      <c r="CP101" s="6"/>
      <c r="CQ101" s="234">
        <f>SUMIF(I$1:CO$1,1,I101:CO101)</f>
        <v>0</v>
      </c>
      <c r="CR101" s="6"/>
      <c r="CS101" s="233" t="e">
        <f>SUMIF(I$1:CO$1,2,I101:CO101)</f>
        <v>#REF!</v>
      </c>
      <c r="CU101" s="233">
        <f>SUMIF(I$1:CO$1,3,I101:CO101)</f>
        <v>32780</v>
      </c>
      <c r="CW101" s="270"/>
      <c r="CX101" s="270"/>
    </row>
    <row r="102" spans="1:102" ht="15" customHeight="1" x14ac:dyDescent="0.25">
      <c r="A102" s="245"/>
      <c r="B102" s="267"/>
      <c r="C102" s="72" t="s">
        <v>405</v>
      </c>
      <c r="D102" s="265" t="s">
        <v>404</v>
      </c>
      <c r="E102" s="72" t="s">
        <v>401</v>
      </c>
      <c r="F102" s="263">
        <f>((0.01*(1.014*1.012*1.015)*1.1/1.13)*1.028)*(1.058)</f>
        <v>1.102751186641529E-2</v>
      </c>
      <c r="G102" s="262">
        <f>F102*$G$1</f>
        <v>0</v>
      </c>
      <c r="I102" s="172"/>
      <c r="J102" s="294"/>
      <c r="K102" s="294"/>
      <c r="L102" s="294"/>
      <c r="M102" s="322"/>
      <c r="N102" s="321">
        <f>SUM(I102:M102)</f>
        <v>0</v>
      </c>
      <c r="O102" s="183">
        <v>1</v>
      </c>
      <c r="P102" s="366"/>
      <c r="Q102" s="358"/>
      <c r="R102" s="358"/>
      <c r="S102" s="358"/>
      <c r="T102" s="358"/>
      <c r="U102" s="358"/>
      <c r="V102" s="358"/>
      <c r="W102" s="247"/>
      <c r="X102" s="318">
        <f>P102*W$100</f>
        <v>0</v>
      </c>
      <c r="Z102" s="172"/>
      <c r="AA102" s="376"/>
      <c r="AB102" s="171"/>
      <c r="AC102" s="171"/>
      <c r="AD102" s="170"/>
      <c r="AE102" s="321">
        <f>SUM(Z102:AD102)</f>
        <v>0</v>
      </c>
      <c r="AF102" s="183">
        <v>1</v>
      </c>
      <c r="AG102" s="318"/>
      <c r="AH102" s="358"/>
      <c r="AI102" s="358"/>
      <c r="AJ102" s="358"/>
      <c r="AK102" s="358"/>
      <c r="AL102" s="358"/>
      <c r="AM102" s="358"/>
      <c r="AN102" s="247"/>
      <c r="AO102" s="318">
        <f>AG102*AN$100</f>
        <v>0</v>
      </c>
      <c r="AQ102" s="172"/>
      <c r="AR102" s="294"/>
      <c r="AS102" s="294"/>
      <c r="AT102" s="294"/>
      <c r="AU102" s="242"/>
      <c r="AV102" s="317">
        <f>SUM(AQ102:AU102)</f>
        <v>0</v>
      </c>
      <c r="AW102" s="183">
        <v>1</v>
      </c>
      <c r="AX102" s="318"/>
      <c r="AY102" s="358"/>
      <c r="AZ102" s="358"/>
      <c r="BA102" s="358"/>
      <c r="BB102" s="358"/>
      <c r="BC102" s="358"/>
      <c r="BD102" s="358"/>
      <c r="BE102" s="247"/>
      <c r="BF102" s="318"/>
      <c r="BH102" s="370"/>
      <c r="BI102" s="320"/>
      <c r="BJ102" s="320"/>
      <c r="BK102" s="320"/>
      <c r="BL102" s="165"/>
      <c r="BM102" s="319">
        <f>SUM(BH102:BL102)</f>
        <v>0</v>
      </c>
      <c r="BN102" s="183">
        <v>1</v>
      </c>
      <c r="BO102" s="318">
        <f>$G102*BM102*BN102</f>
        <v>0</v>
      </c>
      <c r="BP102" s="358"/>
      <c r="BQ102" s="358"/>
      <c r="BR102" s="358"/>
      <c r="BS102" s="358"/>
      <c r="BT102" s="358"/>
      <c r="BU102" s="358"/>
      <c r="BV102" s="247"/>
      <c r="BW102" s="318" t="e">
        <f>BO102*BV$100</f>
        <v>#REF!</v>
      </c>
      <c r="BY102" s="370"/>
      <c r="BZ102" s="320"/>
      <c r="CA102" s="320"/>
      <c r="CB102" s="320"/>
      <c r="CC102" s="165"/>
      <c r="CD102" s="319">
        <f>SUM(BY102:CC102)</f>
        <v>0</v>
      </c>
      <c r="CE102" s="183">
        <v>1</v>
      </c>
      <c r="CF102" s="318">
        <f>$G102*CD102*CE102</f>
        <v>0</v>
      </c>
      <c r="CG102" s="358"/>
      <c r="CH102" s="358"/>
      <c r="CI102" s="358"/>
      <c r="CJ102" s="358"/>
      <c r="CK102" s="358"/>
      <c r="CL102" s="358"/>
      <c r="CM102" s="247"/>
      <c r="CN102" s="318" t="e">
        <f>CF102*CM$100</f>
        <v>#REF!</v>
      </c>
      <c r="CP102" s="6"/>
      <c r="CQ102" s="234">
        <f>SUMIF(I$1:CO$1,1,I102:CO102)</f>
        <v>0</v>
      </c>
      <c r="CR102" s="6"/>
      <c r="CS102" s="233" t="e">
        <f>SUMIF(I$1:CO$1,2,I102:CO102)</f>
        <v>#REF!</v>
      </c>
      <c r="CU102" s="233">
        <f>SUMIF(I$1:CO$1,3,I102:CO102)</f>
        <v>0</v>
      </c>
      <c r="CW102" s="270"/>
      <c r="CX102" s="270"/>
    </row>
    <row r="103" spans="1:102" ht="15" customHeight="1" x14ac:dyDescent="0.25">
      <c r="A103" s="245"/>
      <c r="B103" s="266"/>
      <c r="C103" s="72" t="s">
        <v>403</v>
      </c>
      <c r="D103" s="265" t="s">
        <v>402</v>
      </c>
      <c r="E103" s="72" t="s">
        <v>401</v>
      </c>
      <c r="F103" s="263">
        <f>((0.0022*(1.014*1.012*1.015)*1.1/1.13)*1.028)*(1.058)</f>
        <v>2.4260526106113646E-3</v>
      </c>
      <c r="G103" s="262">
        <f>F103*$G$1</f>
        <v>0</v>
      </c>
      <c r="I103" s="172"/>
      <c r="J103" s="294"/>
      <c r="K103" s="294">
        <f>K66+K67</f>
        <v>3145</v>
      </c>
      <c r="L103" s="294">
        <f>L66+L67</f>
        <v>412</v>
      </c>
      <c r="M103" s="322">
        <f>M66+M67</f>
        <v>2985</v>
      </c>
      <c r="N103" s="321">
        <f>SUM(I103:M103)</f>
        <v>6542</v>
      </c>
      <c r="O103" s="183">
        <v>1</v>
      </c>
      <c r="P103" s="366"/>
      <c r="Q103" s="358"/>
      <c r="R103" s="358"/>
      <c r="S103" s="358"/>
      <c r="T103" s="358"/>
      <c r="U103" s="358"/>
      <c r="V103" s="358"/>
      <c r="W103" s="247"/>
      <c r="X103" s="318">
        <f>P103*W$100</f>
        <v>0</v>
      </c>
      <c r="Z103" s="172">
        <f>Z66+Z67</f>
        <v>3985</v>
      </c>
      <c r="AA103" s="376">
        <f>AA66+AA67</f>
        <v>4288</v>
      </c>
      <c r="AB103" s="171">
        <f>AB66+AB67</f>
        <v>3793</v>
      </c>
      <c r="AC103" s="171">
        <f>AC66+AC67</f>
        <v>5340</v>
      </c>
      <c r="AD103" s="170">
        <f>AD66+AD67</f>
        <v>4935</v>
      </c>
      <c r="AE103" s="321">
        <f>SUM(Z103:AD103)</f>
        <v>22341</v>
      </c>
      <c r="AF103" s="183">
        <v>1</v>
      </c>
      <c r="AG103" s="318"/>
      <c r="AH103" s="358"/>
      <c r="AI103" s="358"/>
      <c r="AJ103" s="358"/>
      <c r="AK103" s="358"/>
      <c r="AL103" s="358"/>
      <c r="AM103" s="358"/>
      <c r="AN103" s="247"/>
      <c r="AO103" s="318">
        <f>AG103*AN$100</f>
        <v>0</v>
      </c>
      <c r="AQ103" s="172">
        <f>AQ66+AQ67</f>
        <v>8586</v>
      </c>
      <c r="AR103" s="294"/>
      <c r="AS103" s="294"/>
      <c r="AT103" s="294"/>
      <c r="AU103" s="242"/>
      <c r="AV103" s="317">
        <f>SUM(AQ103:AU103)</f>
        <v>8586</v>
      </c>
      <c r="AW103" s="183">
        <v>1</v>
      </c>
      <c r="AX103" s="318"/>
      <c r="AY103" s="358"/>
      <c r="AZ103" s="358"/>
      <c r="BA103" s="358"/>
      <c r="BB103" s="358"/>
      <c r="BC103" s="358"/>
      <c r="BD103" s="358"/>
      <c r="BE103" s="247"/>
      <c r="BF103" s="318"/>
      <c r="BH103" s="370"/>
      <c r="BI103" s="320"/>
      <c r="BJ103" s="320"/>
      <c r="BK103" s="320"/>
      <c r="BL103" s="368"/>
      <c r="BM103" s="319">
        <f>SUM(BH103:BL103)</f>
        <v>0</v>
      </c>
      <c r="BN103" s="183">
        <v>1</v>
      </c>
      <c r="BO103" s="318">
        <f>$G103*BM103*BN103</f>
        <v>0</v>
      </c>
      <c r="BP103" s="358"/>
      <c r="BQ103" s="358"/>
      <c r="BR103" s="358"/>
      <c r="BS103" s="358"/>
      <c r="BT103" s="358"/>
      <c r="BU103" s="358"/>
      <c r="BV103" s="247"/>
      <c r="BW103" s="318" t="e">
        <f>BO103*BV$100</f>
        <v>#REF!</v>
      </c>
      <c r="BY103" s="370"/>
      <c r="BZ103" s="369"/>
      <c r="CA103" s="369"/>
      <c r="CB103" s="320"/>
      <c r="CC103" s="368"/>
      <c r="CD103" s="319">
        <f>SUM(BY103:CC103)</f>
        <v>0</v>
      </c>
      <c r="CE103" s="183">
        <v>1</v>
      </c>
      <c r="CF103" s="318">
        <f>$G103*CD103*CE103</f>
        <v>0</v>
      </c>
      <c r="CG103" s="358"/>
      <c r="CH103" s="358"/>
      <c r="CI103" s="358"/>
      <c r="CJ103" s="358"/>
      <c r="CK103" s="358"/>
      <c r="CL103" s="358"/>
      <c r="CM103" s="247"/>
      <c r="CN103" s="318" t="e">
        <f>CF103*CM$100</f>
        <v>#REF!</v>
      </c>
      <c r="CP103" s="6"/>
      <c r="CQ103" s="234">
        <f>SUMIF(I$1:CO$1,1,I103:CO103)</f>
        <v>0</v>
      </c>
      <c r="CR103" s="6"/>
      <c r="CS103" s="233" t="e">
        <f>SUMIF(I$1:CO$1,2,I103:CO103)</f>
        <v>#REF!</v>
      </c>
      <c r="CU103" s="233">
        <f>SUMIF(I$1:CO$1,3,I103:CO103)</f>
        <v>30927</v>
      </c>
      <c r="CW103" s="270"/>
      <c r="CX103" s="270"/>
    </row>
    <row r="104" spans="1:102" ht="15" customHeight="1" x14ac:dyDescent="0.25">
      <c r="A104" s="245"/>
      <c r="B104" s="268" t="s">
        <v>400</v>
      </c>
      <c r="C104" s="72" t="s">
        <v>399</v>
      </c>
      <c r="D104" s="265" t="s">
        <v>273</v>
      </c>
      <c r="E104" s="72" t="s">
        <v>270</v>
      </c>
      <c r="F104" s="263">
        <f>((0.00075*(1.014*1.012*1.015)*1.1/1.13)*1.028)*(1.058)</f>
        <v>8.2706338998114694E-4</v>
      </c>
      <c r="G104" s="262">
        <f>F104*$G$1</f>
        <v>0</v>
      </c>
      <c r="I104" s="172"/>
      <c r="J104" s="294"/>
      <c r="K104" s="294">
        <v>55390</v>
      </c>
      <c r="L104" s="294">
        <v>15820</v>
      </c>
      <c r="M104" s="322">
        <v>31900</v>
      </c>
      <c r="N104" s="321">
        <f>SUM(I104:M104)</f>
        <v>103110</v>
      </c>
      <c r="O104" s="183">
        <v>1</v>
      </c>
      <c r="P104" s="366"/>
      <c r="Q104" s="358"/>
      <c r="R104" s="358"/>
      <c r="S104" s="358"/>
      <c r="T104" s="358"/>
      <c r="U104" s="358"/>
      <c r="V104" s="358"/>
      <c r="W104" s="247"/>
      <c r="X104" s="318">
        <f>P104*W$100</f>
        <v>0</v>
      </c>
      <c r="Z104" s="172">
        <v>27465</v>
      </c>
      <c r="AA104" s="376">
        <v>45500</v>
      </c>
      <c r="AB104" s="171">
        <v>20755</v>
      </c>
      <c r="AC104" s="171">
        <v>60800</v>
      </c>
      <c r="AD104" s="170">
        <f>30520+160</f>
        <v>30680</v>
      </c>
      <c r="AE104" s="321">
        <f>SUM(Z104:AD104)</f>
        <v>185200</v>
      </c>
      <c r="AF104" s="183">
        <v>1</v>
      </c>
      <c r="AG104" s="318"/>
      <c r="AH104" s="358"/>
      <c r="AI104" s="358"/>
      <c r="AJ104" s="358"/>
      <c r="AK104" s="358"/>
      <c r="AL104" s="358"/>
      <c r="AM104" s="358"/>
      <c r="AN104" s="247"/>
      <c r="AO104" s="318">
        <f>AG104*AN$100</f>
        <v>0</v>
      </c>
      <c r="AQ104" s="172">
        <v>94200</v>
      </c>
      <c r="AR104" s="294"/>
      <c r="AS104" s="294"/>
      <c r="AT104" s="294"/>
      <c r="AU104" s="242"/>
      <c r="AV104" s="317">
        <f>SUM(AQ104:AU104)</f>
        <v>94200</v>
      </c>
      <c r="AW104" s="183">
        <v>1</v>
      </c>
      <c r="AX104" s="318"/>
      <c r="AY104" s="358"/>
      <c r="AZ104" s="358"/>
      <c r="BA104" s="358"/>
      <c r="BB104" s="358"/>
      <c r="BC104" s="358"/>
      <c r="BD104" s="358"/>
      <c r="BE104" s="247"/>
      <c r="BF104" s="318"/>
      <c r="BH104" s="370"/>
      <c r="BI104" s="320"/>
      <c r="BJ104" s="320"/>
      <c r="BK104" s="320"/>
      <c r="BL104" s="165"/>
      <c r="BM104" s="319">
        <f>SUM(BH104:BL104)</f>
        <v>0</v>
      </c>
      <c r="BN104" s="183">
        <v>1</v>
      </c>
      <c r="BO104" s="318">
        <f>$G104*BM104*BN104</f>
        <v>0</v>
      </c>
      <c r="BP104" s="358"/>
      <c r="BQ104" s="358"/>
      <c r="BR104" s="358"/>
      <c r="BS104" s="358"/>
      <c r="BT104" s="358"/>
      <c r="BU104" s="358"/>
      <c r="BV104" s="247"/>
      <c r="BW104" s="318" t="e">
        <f>BO104*BV$100</f>
        <v>#REF!</v>
      </c>
      <c r="BY104" s="370"/>
      <c r="BZ104" s="320"/>
      <c r="CA104" s="320"/>
      <c r="CB104" s="320"/>
      <c r="CC104" s="165"/>
      <c r="CD104" s="317">
        <f>SUM(BY104:CC104)</f>
        <v>0</v>
      </c>
      <c r="CE104" s="183">
        <v>1</v>
      </c>
      <c r="CF104" s="318">
        <f>$G104*CD104*CE104</f>
        <v>0</v>
      </c>
      <c r="CG104" s="358"/>
      <c r="CH104" s="358"/>
      <c r="CI104" s="358"/>
      <c r="CJ104" s="358"/>
      <c r="CK104" s="358"/>
      <c r="CL104" s="358"/>
      <c r="CM104" s="247"/>
      <c r="CN104" s="318" t="e">
        <f>CF104*CM$100</f>
        <v>#REF!</v>
      </c>
      <c r="CP104" s="6"/>
      <c r="CQ104" s="234">
        <f>SUMIF(I$1:CO$1,1,I104:CO104)</f>
        <v>0</v>
      </c>
      <c r="CR104" s="6"/>
      <c r="CS104" s="233" t="e">
        <f>SUMIF(I$1:CO$1,2,I104:CO104)</f>
        <v>#REF!</v>
      </c>
      <c r="CU104" s="233">
        <f>SUMIF(I$1:CO$1,3,I104:CO104)</f>
        <v>279400</v>
      </c>
      <c r="CW104" s="270"/>
      <c r="CX104" s="270"/>
    </row>
    <row r="105" spans="1:102" ht="15" customHeight="1" x14ac:dyDescent="0.25">
      <c r="A105" s="245"/>
      <c r="B105" s="267"/>
      <c r="C105" s="72" t="s">
        <v>398</v>
      </c>
      <c r="D105" s="265" t="s">
        <v>397</v>
      </c>
      <c r="E105" s="72" t="s">
        <v>270</v>
      </c>
      <c r="F105" s="263">
        <f>((0.00085*(1.014*1.012*1.015)*1.1/1.13)*1.028)*(1.058)</f>
        <v>9.3733850864529983E-4</v>
      </c>
      <c r="G105" s="262">
        <f>F105*$G$1</f>
        <v>0</v>
      </c>
      <c r="I105" s="172"/>
      <c r="J105" s="294"/>
      <c r="K105" s="294">
        <v>51300</v>
      </c>
      <c r="L105" s="294">
        <v>17600</v>
      </c>
      <c r="M105" s="322">
        <v>16100</v>
      </c>
      <c r="N105" s="321">
        <f>SUM(I105:M105)</f>
        <v>85000</v>
      </c>
      <c r="O105" s="183">
        <v>1</v>
      </c>
      <c r="P105" s="366"/>
      <c r="Q105" s="358"/>
      <c r="R105" s="358"/>
      <c r="S105" s="358"/>
      <c r="T105" s="358"/>
      <c r="U105" s="358"/>
      <c r="V105" s="358"/>
      <c r="W105" s="247"/>
      <c r="X105" s="318">
        <f>P105*W$100</f>
        <v>0</v>
      </c>
      <c r="Z105" s="172">
        <v>4100</v>
      </c>
      <c r="AA105" s="376">
        <v>19650</v>
      </c>
      <c r="AB105" s="171">
        <v>7130</v>
      </c>
      <c r="AC105" s="171">
        <v>47650</v>
      </c>
      <c r="AD105" s="170">
        <f>11750+135</f>
        <v>11885</v>
      </c>
      <c r="AE105" s="321">
        <f>SUM(Z105:AD105)</f>
        <v>90415</v>
      </c>
      <c r="AF105" s="183">
        <v>1</v>
      </c>
      <c r="AG105" s="318"/>
      <c r="AH105" s="358"/>
      <c r="AI105" s="358"/>
      <c r="AJ105" s="358"/>
      <c r="AK105" s="358"/>
      <c r="AL105" s="358"/>
      <c r="AM105" s="358"/>
      <c r="AN105" s="247"/>
      <c r="AO105" s="318">
        <f>AG105*AN$100</f>
        <v>0</v>
      </c>
      <c r="AQ105" s="172">
        <v>214700</v>
      </c>
      <c r="AR105" s="294"/>
      <c r="AS105" s="294"/>
      <c r="AT105" s="294"/>
      <c r="AU105" s="242"/>
      <c r="AV105" s="317">
        <f>SUM(AQ105:AU105)</f>
        <v>214700</v>
      </c>
      <c r="AW105" s="183">
        <v>1</v>
      </c>
      <c r="AX105" s="318"/>
      <c r="AY105" s="358"/>
      <c r="AZ105" s="358"/>
      <c r="BA105" s="358"/>
      <c r="BB105" s="358"/>
      <c r="BC105" s="358"/>
      <c r="BD105" s="358"/>
      <c r="BE105" s="247"/>
      <c r="BF105" s="318"/>
      <c r="BH105" s="370"/>
      <c r="BI105" s="320"/>
      <c r="BJ105" s="320"/>
      <c r="BK105" s="320"/>
      <c r="BL105" s="165"/>
      <c r="BM105" s="319">
        <f>SUM(BH105:BL105)</f>
        <v>0</v>
      </c>
      <c r="BN105" s="183">
        <v>1</v>
      </c>
      <c r="BO105" s="318">
        <f>$G105*BM105*BN105</f>
        <v>0</v>
      </c>
      <c r="BP105" s="358"/>
      <c r="BQ105" s="358"/>
      <c r="BR105" s="358"/>
      <c r="BS105" s="358"/>
      <c r="BT105" s="358"/>
      <c r="BU105" s="358"/>
      <c r="BV105" s="247"/>
      <c r="BW105" s="318" t="e">
        <f>BO105*BV$100</f>
        <v>#REF!</v>
      </c>
      <c r="BY105" s="370"/>
      <c r="BZ105" s="320"/>
      <c r="CA105" s="320"/>
      <c r="CB105" s="320"/>
      <c r="CC105" s="165"/>
      <c r="CD105" s="378">
        <f>SUM(BY105:CC105)</f>
        <v>0</v>
      </c>
      <c r="CE105" s="183">
        <v>1</v>
      </c>
      <c r="CF105" s="318">
        <f>$G105*CD105*CE105</f>
        <v>0</v>
      </c>
      <c r="CG105" s="358"/>
      <c r="CH105" s="358"/>
      <c r="CI105" s="358"/>
      <c r="CJ105" s="358"/>
      <c r="CK105" s="358"/>
      <c r="CL105" s="358"/>
      <c r="CM105" s="247"/>
      <c r="CN105" s="318" t="e">
        <f>CF105*CM$100</f>
        <v>#REF!</v>
      </c>
      <c r="CP105" s="6"/>
      <c r="CQ105" s="234">
        <f>SUMIF(I$1:CO$1,1,I105:CO105)</f>
        <v>0</v>
      </c>
      <c r="CR105" s="6"/>
      <c r="CS105" s="233" t="e">
        <f>SUMIF(I$1:CO$1,2,I105:CO105)</f>
        <v>#REF!</v>
      </c>
      <c r="CU105" s="233">
        <f>SUMIF(I$1:CO$1,3,I105:CO105)</f>
        <v>305115</v>
      </c>
      <c r="CW105" s="270"/>
      <c r="CX105" s="270"/>
    </row>
    <row r="106" spans="1:102" ht="15" customHeight="1" x14ac:dyDescent="0.25">
      <c r="A106" s="245"/>
      <c r="B106" s="267"/>
      <c r="C106" s="72" t="s">
        <v>396</v>
      </c>
      <c r="D106" s="265" t="s">
        <v>395</v>
      </c>
      <c r="E106" s="72" t="s">
        <v>232</v>
      </c>
      <c r="F106" s="263">
        <f>((0.00015*(1.014*1.012*1.015)*1.1/1.13)*1.028)*(1.058)</f>
        <v>1.654126779962294E-4</v>
      </c>
      <c r="G106" s="262">
        <f>F106*$G$1</f>
        <v>0</v>
      </c>
      <c r="I106" s="172"/>
      <c r="J106" s="294"/>
      <c r="K106" s="294">
        <v>16500</v>
      </c>
      <c r="L106" s="294">
        <v>4000</v>
      </c>
      <c r="M106" s="322">
        <v>9600</v>
      </c>
      <c r="N106" s="321">
        <f>SUM(I106:M106)</f>
        <v>30100</v>
      </c>
      <c r="O106" s="183">
        <v>1</v>
      </c>
      <c r="P106" s="366"/>
      <c r="Q106" s="358"/>
      <c r="R106" s="358"/>
      <c r="S106" s="358"/>
      <c r="T106" s="358"/>
      <c r="U106" s="358"/>
      <c r="V106" s="358"/>
      <c r="W106" s="247"/>
      <c r="X106" s="318">
        <f>P106*W$100</f>
        <v>0</v>
      </c>
      <c r="Z106" s="172">
        <v>5600</v>
      </c>
      <c r="AA106" s="376">
        <v>8700</v>
      </c>
      <c r="AB106" s="171">
        <v>4850</v>
      </c>
      <c r="AC106" s="171">
        <v>20600</v>
      </c>
      <c r="AD106" s="170">
        <v>9600</v>
      </c>
      <c r="AE106" s="321">
        <f>SUM(Z106:AD106)</f>
        <v>49350</v>
      </c>
      <c r="AF106" s="183">
        <v>1</v>
      </c>
      <c r="AG106" s="318"/>
      <c r="AH106" s="358"/>
      <c r="AI106" s="358"/>
      <c r="AJ106" s="358"/>
      <c r="AK106" s="358"/>
      <c r="AL106" s="358"/>
      <c r="AM106" s="358"/>
      <c r="AN106" s="247"/>
      <c r="AO106" s="318">
        <f>AG106*AN$100</f>
        <v>0</v>
      </c>
      <c r="AQ106" s="172">
        <v>45200</v>
      </c>
      <c r="AR106" s="294"/>
      <c r="AS106" s="294"/>
      <c r="AT106" s="294"/>
      <c r="AU106" s="242"/>
      <c r="AV106" s="317">
        <f>SUM(AQ106:AU106)</f>
        <v>45200</v>
      </c>
      <c r="AW106" s="183">
        <v>1</v>
      </c>
      <c r="AX106" s="318"/>
      <c r="AY106" s="358"/>
      <c r="AZ106" s="358"/>
      <c r="BA106" s="358"/>
      <c r="BB106" s="358"/>
      <c r="BC106" s="358"/>
      <c r="BD106" s="358"/>
      <c r="BE106" s="247"/>
      <c r="BF106" s="318"/>
      <c r="BH106" s="370"/>
      <c r="BI106" s="320"/>
      <c r="BJ106" s="320"/>
      <c r="BK106" s="320"/>
      <c r="BL106" s="165"/>
      <c r="BM106" s="319">
        <f>SUM(BH106:BL106)</f>
        <v>0</v>
      </c>
      <c r="BN106" s="183">
        <v>1</v>
      </c>
      <c r="BO106" s="318">
        <f>$G106*BM106*BN106</f>
        <v>0</v>
      </c>
      <c r="BP106" s="358"/>
      <c r="BQ106" s="358"/>
      <c r="BR106" s="358"/>
      <c r="BS106" s="358"/>
      <c r="BT106" s="358"/>
      <c r="BU106" s="358"/>
      <c r="BV106" s="247"/>
      <c r="BW106" s="318" t="e">
        <f>BO106*BV$100</f>
        <v>#REF!</v>
      </c>
      <c r="BY106" s="370"/>
      <c r="BZ106" s="320"/>
      <c r="CA106" s="320"/>
      <c r="CB106" s="320"/>
      <c r="CC106" s="165"/>
      <c r="CD106" s="319">
        <f>SUM(BY106:CC106)</f>
        <v>0</v>
      </c>
      <c r="CE106" s="183">
        <v>1</v>
      </c>
      <c r="CF106" s="318">
        <f>$G106*CD106*CE106</f>
        <v>0</v>
      </c>
      <c r="CG106" s="358"/>
      <c r="CH106" s="358"/>
      <c r="CI106" s="358"/>
      <c r="CJ106" s="358"/>
      <c r="CK106" s="358"/>
      <c r="CL106" s="358"/>
      <c r="CM106" s="247"/>
      <c r="CN106" s="318" t="e">
        <f>CF106*CM$100</f>
        <v>#REF!</v>
      </c>
      <c r="CP106" s="6"/>
      <c r="CQ106" s="234">
        <f>SUMIF(I$1:CO$1,1,I106:CO106)</f>
        <v>0</v>
      </c>
      <c r="CR106" s="6"/>
      <c r="CS106" s="233" t="e">
        <f>SUMIF(I$1:CO$1,2,I106:CO106)</f>
        <v>#REF!</v>
      </c>
      <c r="CU106" s="233">
        <f>SUMIF(I$1:CO$1,3,I106:CO106)</f>
        <v>94550</v>
      </c>
      <c r="CW106" s="270"/>
      <c r="CX106" s="270"/>
    </row>
    <row r="107" spans="1:102" ht="15" customHeight="1" x14ac:dyDescent="0.25">
      <c r="A107" s="245"/>
      <c r="B107" s="267"/>
      <c r="C107" s="72" t="s">
        <v>394</v>
      </c>
      <c r="D107" s="265" t="s">
        <v>393</v>
      </c>
      <c r="E107" s="72" t="s">
        <v>237</v>
      </c>
      <c r="F107" s="263">
        <f>((0.0015*(1.014*1.012*1.015)*1.1/1.13)*1.028)*(1.058)</f>
        <v>1.6541267799622939E-3</v>
      </c>
      <c r="G107" s="262">
        <f>F107*$G$1</f>
        <v>0</v>
      </c>
      <c r="I107" s="172"/>
      <c r="J107" s="294"/>
      <c r="K107" s="294">
        <v>4000</v>
      </c>
      <c r="L107" s="294">
        <v>1435</v>
      </c>
      <c r="M107" s="322">
        <v>2760</v>
      </c>
      <c r="N107" s="321">
        <f>SUM(I107:M107)</f>
        <v>8195</v>
      </c>
      <c r="O107" s="183">
        <v>1</v>
      </c>
      <c r="P107" s="366"/>
      <c r="Q107" s="358"/>
      <c r="R107" s="358"/>
      <c r="S107" s="358"/>
      <c r="T107" s="358"/>
      <c r="U107" s="358"/>
      <c r="V107" s="358"/>
      <c r="W107" s="247"/>
      <c r="X107" s="318">
        <f>P107*W$100</f>
        <v>0</v>
      </c>
      <c r="Z107" s="172">
        <v>1850</v>
      </c>
      <c r="AA107" s="376">
        <v>5850</v>
      </c>
      <c r="AB107" s="171">
        <v>1280</v>
      </c>
      <c r="AC107" s="171">
        <v>7525</v>
      </c>
      <c r="AD107" s="170">
        <v>1675</v>
      </c>
      <c r="AE107" s="321">
        <f>SUM(Z107:AD107)</f>
        <v>18180</v>
      </c>
      <c r="AF107" s="183">
        <v>1</v>
      </c>
      <c r="AG107" s="318"/>
      <c r="AH107" s="358"/>
      <c r="AI107" s="358"/>
      <c r="AJ107" s="358"/>
      <c r="AK107" s="358"/>
      <c r="AL107" s="358"/>
      <c r="AM107" s="358"/>
      <c r="AN107" s="247"/>
      <c r="AO107" s="318">
        <f>AG107*AN$100</f>
        <v>0</v>
      </c>
      <c r="AQ107" s="172">
        <v>7650</v>
      </c>
      <c r="AR107" s="294"/>
      <c r="AS107" s="294"/>
      <c r="AT107" s="294"/>
      <c r="AU107" s="242"/>
      <c r="AV107" s="317">
        <f>SUM(AQ107:AU107)</f>
        <v>7650</v>
      </c>
      <c r="AW107" s="183">
        <v>1</v>
      </c>
      <c r="AX107" s="318"/>
      <c r="AY107" s="358"/>
      <c r="AZ107" s="358"/>
      <c r="BA107" s="358"/>
      <c r="BB107" s="358"/>
      <c r="BC107" s="358"/>
      <c r="BD107" s="358"/>
      <c r="BE107" s="247"/>
      <c r="BF107" s="318"/>
      <c r="BH107" s="370"/>
      <c r="BI107" s="320"/>
      <c r="BJ107" s="320"/>
      <c r="BK107" s="320"/>
      <c r="BL107" s="165"/>
      <c r="BM107" s="319">
        <f>SUM(BH107:BL107)</f>
        <v>0</v>
      </c>
      <c r="BN107" s="183">
        <v>1</v>
      </c>
      <c r="BO107" s="318">
        <f>$G107*BM107*BN107</f>
        <v>0</v>
      </c>
      <c r="BP107" s="358"/>
      <c r="BQ107" s="358"/>
      <c r="BR107" s="358"/>
      <c r="BS107" s="358"/>
      <c r="BT107" s="358"/>
      <c r="BU107" s="358"/>
      <c r="BV107" s="247"/>
      <c r="BW107" s="318" t="e">
        <f>BO107*BV$100</f>
        <v>#REF!</v>
      </c>
      <c r="BY107" s="370"/>
      <c r="BZ107" s="320"/>
      <c r="CA107" s="320"/>
      <c r="CB107" s="320"/>
      <c r="CC107" s="165"/>
      <c r="CD107" s="319">
        <f>SUM(BY107:CC107)</f>
        <v>0</v>
      </c>
      <c r="CE107" s="183">
        <v>1</v>
      </c>
      <c r="CF107" s="318">
        <f>$G107*CD107*CE107</f>
        <v>0</v>
      </c>
      <c r="CG107" s="358"/>
      <c r="CH107" s="358"/>
      <c r="CI107" s="358"/>
      <c r="CJ107" s="358"/>
      <c r="CK107" s="358"/>
      <c r="CL107" s="358"/>
      <c r="CM107" s="247"/>
      <c r="CN107" s="318" t="e">
        <f>CF107*CM$100</f>
        <v>#REF!</v>
      </c>
      <c r="CP107" s="6"/>
      <c r="CQ107" s="234">
        <f>SUMIF(I$1:CO$1,1,I107:CO107)</f>
        <v>0</v>
      </c>
      <c r="CR107" s="6"/>
      <c r="CS107" s="233" t="e">
        <f>SUMIF(I$1:CO$1,2,I107:CO107)</f>
        <v>#REF!</v>
      </c>
      <c r="CU107" s="233">
        <f>SUMIF(I$1:CO$1,3,I107:CO107)</f>
        <v>25830</v>
      </c>
      <c r="CW107" s="270"/>
      <c r="CX107" s="270"/>
    </row>
    <row r="108" spans="1:102" ht="15" customHeight="1" x14ac:dyDescent="0.25">
      <c r="A108" s="245"/>
      <c r="B108" s="267"/>
      <c r="C108" s="72" t="s">
        <v>392</v>
      </c>
      <c r="D108" s="265" t="s">
        <v>391</v>
      </c>
      <c r="E108" s="72" t="s">
        <v>237</v>
      </c>
      <c r="F108" s="263">
        <f>((0.0095*(1.014*1.012*1.015)*1.1/1.13)*1.028)*(1.058)</f>
        <v>1.0476136273094528E-2</v>
      </c>
      <c r="G108" s="262">
        <f>F108*$G$1</f>
        <v>0</v>
      </c>
      <c r="I108" s="172"/>
      <c r="J108" s="294"/>
      <c r="K108" s="294">
        <v>227</v>
      </c>
      <c r="L108" s="294">
        <v>195</v>
      </c>
      <c r="M108" s="322">
        <v>320</v>
      </c>
      <c r="N108" s="321">
        <f>SUM(I108:M108)</f>
        <v>742</v>
      </c>
      <c r="O108" s="183">
        <v>1</v>
      </c>
      <c r="P108" s="366"/>
      <c r="Q108" s="358"/>
      <c r="R108" s="358"/>
      <c r="S108" s="358"/>
      <c r="T108" s="358"/>
      <c r="U108" s="358"/>
      <c r="V108" s="358"/>
      <c r="W108" s="247"/>
      <c r="X108" s="318">
        <f>P108*W$100</f>
        <v>0</v>
      </c>
      <c r="Z108" s="172">
        <v>20</v>
      </c>
      <c r="AA108" s="376"/>
      <c r="AB108" s="171">
        <v>20</v>
      </c>
      <c r="AC108" s="171">
        <v>70</v>
      </c>
      <c r="AD108" s="170">
        <v>20</v>
      </c>
      <c r="AE108" s="321">
        <f>SUM(Z108:AD108)</f>
        <v>130</v>
      </c>
      <c r="AF108" s="183">
        <v>1</v>
      </c>
      <c r="AG108" s="318"/>
      <c r="AH108" s="358"/>
      <c r="AI108" s="358"/>
      <c r="AJ108" s="358"/>
      <c r="AK108" s="358"/>
      <c r="AL108" s="358"/>
      <c r="AM108" s="358"/>
      <c r="AN108" s="247"/>
      <c r="AO108" s="318">
        <f>AG108*AN$100</f>
        <v>0</v>
      </c>
      <c r="AQ108" s="172">
        <v>750</v>
      </c>
      <c r="AR108" s="294"/>
      <c r="AS108" s="294"/>
      <c r="AT108" s="294"/>
      <c r="AU108" s="242"/>
      <c r="AV108" s="317">
        <f>SUM(AQ108:AU108)</f>
        <v>750</v>
      </c>
      <c r="AW108" s="183">
        <v>1</v>
      </c>
      <c r="AX108" s="318"/>
      <c r="AY108" s="358"/>
      <c r="AZ108" s="358"/>
      <c r="BA108" s="358"/>
      <c r="BB108" s="358"/>
      <c r="BC108" s="358"/>
      <c r="BD108" s="358"/>
      <c r="BE108" s="247"/>
      <c r="BF108" s="318"/>
      <c r="BH108" s="370"/>
      <c r="BI108" s="320"/>
      <c r="BJ108" s="320"/>
      <c r="BK108" s="320"/>
      <c r="BL108" s="165"/>
      <c r="BM108" s="319">
        <f>SUM(BH108:BL108)</f>
        <v>0</v>
      </c>
      <c r="BN108" s="183">
        <v>1</v>
      </c>
      <c r="BO108" s="318">
        <f>$G108*BM108*BN108</f>
        <v>0</v>
      </c>
      <c r="BP108" s="358"/>
      <c r="BQ108" s="358"/>
      <c r="BR108" s="358"/>
      <c r="BS108" s="358"/>
      <c r="BT108" s="358"/>
      <c r="BU108" s="358"/>
      <c r="BV108" s="247"/>
      <c r="BW108" s="318" t="e">
        <f>BO108*BV$100</f>
        <v>#REF!</v>
      </c>
      <c r="BY108" s="370"/>
      <c r="BZ108" s="320"/>
      <c r="CA108" s="320"/>
      <c r="CB108" s="320"/>
      <c r="CC108" s="165"/>
      <c r="CD108" s="319">
        <f>SUM(BY108:CC108)</f>
        <v>0</v>
      </c>
      <c r="CE108" s="183">
        <v>1</v>
      </c>
      <c r="CF108" s="318">
        <f>$G108*CD108*CE108</f>
        <v>0</v>
      </c>
      <c r="CG108" s="358"/>
      <c r="CH108" s="358"/>
      <c r="CI108" s="358"/>
      <c r="CJ108" s="358"/>
      <c r="CK108" s="358"/>
      <c r="CL108" s="358"/>
      <c r="CM108" s="247"/>
      <c r="CN108" s="318" t="e">
        <f>CF108*CM$100</f>
        <v>#REF!</v>
      </c>
      <c r="CP108" s="6"/>
      <c r="CQ108" s="234">
        <f>SUMIF(I$1:CO$1,1,I108:CO108)</f>
        <v>0</v>
      </c>
      <c r="CR108" s="6"/>
      <c r="CS108" s="233" t="e">
        <f>SUMIF(I$1:CO$1,2,I108:CO108)</f>
        <v>#REF!</v>
      </c>
      <c r="CU108" s="233">
        <f>SUMIF(I$1:CO$1,3,I108:CO108)</f>
        <v>880</v>
      </c>
      <c r="CW108" s="270"/>
      <c r="CX108" s="270"/>
    </row>
    <row r="109" spans="1:102" ht="15" customHeight="1" x14ac:dyDescent="0.25">
      <c r="A109" s="245"/>
      <c r="B109" s="266"/>
      <c r="C109" s="72" t="s">
        <v>390</v>
      </c>
      <c r="D109" s="265" t="s">
        <v>389</v>
      </c>
      <c r="E109" s="72" t="s">
        <v>237</v>
      </c>
      <c r="F109" s="263">
        <f>((0.0025*(1.014*1.012*1.015)*1.1/1.13)*1.028)*(1.058)</f>
        <v>2.7568779666038226E-3</v>
      </c>
      <c r="G109" s="262">
        <f>F109*$G$1</f>
        <v>0</v>
      </c>
      <c r="I109" s="172"/>
      <c r="J109" s="294"/>
      <c r="K109" s="294">
        <v>1940</v>
      </c>
      <c r="L109" s="294">
        <v>326</v>
      </c>
      <c r="M109" s="322">
        <v>580</v>
      </c>
      <c r="N109" s="321">
        <f>SUM(I109:M109)</f>
        <v>2846</v>
      </c>
      <c r="O109" s="183">
        <v>1</v>
      </c>
      <c r="P109" s="366"/>
      <c r="Q109" s="358"/>
      <c r="R109" s="358"/>
      <c r="S109" s="358"/>
      <c r="T109" s="358"/>
      <c r="U109" s="358"/>
      <c r="V109" s="358"/>
      <c r="W109" s="247"/>
      <c r="X109" s="318">
        <f>P109*W$100</f>
        <v>0</v>
      </c>
      <c r="Z109" s="172">
        <v>1920</v>
      </c>
      <c r="AA109" s="376">
        <v>595</v>
      </c>
      <c r="AB109" s="171">
        <v>1330</v>
      </c>
      <c r="AC109" s="171">
        <v>485</v>
      </c>
      <c r="AD109" s="170">
        <v>2005</v>
      </c>
      <c r="AE109" s="321">
        <f>SUM(Z109:AD109)</f>
        <v>6335</v>
      </c>
      <c r="AF109" s="183">
        <v>1</v>
      </c>
      <c r="AG109" s="318"/>
      <c r="AH109" s="358"/>
      <c r="AI109" s="358"/>
      <c r="AJ109" s="358"/>
      <c r="AK109" s="358"/>
      <c r="AL109" s="358"/>
      <c r="AM109" s="358"/>
      <c r="AN109" s="247"/>
      <c r="AO109" s="318">
        <f>AG109*AN$100</f>
        <v>0</v>
      </c>
      <c r="AQ109" s="172">
        <v>625</v>
      </c>
      <c r="AR109" s="294"/>
      <c r="AS109" s="294"/>
      <c r="AT109" s="294"/>
      <c r="AU109" s="242"/>
      <c r="AV109" s="317">
        <f>SUM(AQ109:AU109)</f>
        <v>625</v>
      </c>
      <c r="AW109" s="183">
        <v>1</v>
      </c>
      <c r="AX109" s="318"/>
      <c r="AY109" s="358"/>
      <c r="AZ109" s="358"/>
      <c r="BA109" s="358"/>
      <c r="BB109" s="358"/>
      <c r="BC109" s="358"/>
      <c r="BD109" s="358"/>
      <c r="BE109" s="247"/>
      <c r="BF109" s="318"/>
      <c r="BH109" s="370"/>
      <c r="BI109" s="320"/>
      <c r="BJ109" s="320"/>
      <c r="BK109" s="320"/>
      <c r="BL109" s="165"/>
      <c r="BM109" s="319">
        <f>SUM(BH109:BL109)</f>
        <v>0</v>
      </c>
      <c r="BN109" s="183">
        <v>1</v>
      </c>
      <c r="BO109" s="318">
        <f>$G109*BM109*BN109</f>
        <v>0</v>
      </c>
      <c r="BP109" s="358"/>
      <c r="BQ109" s="358"/>
      <c r="BR109" s="358"/>
      <c r="BS109" s="358"/>
      <c r="BT109" s="358"/>
      <c r="BU109" s="358"/>
      <c r="BV109" s="247"/>
      <c r="BW109" s="318" t="e">
        <f>BO109*BV$100</f>
        <v>#REF!</v>
      </c>
      <c r="BY109" s="370"/>
      <c r="BZ109" s="320"/>
      <c r="CA109" s="320"/>
      <c r="CB109" s="320"/>
      <c r="CC109" s="165"/>
      <c r="CD109" s="317">
        <f>SUM(BY109:CC109)</f>
        <v>0</v>
      </c>
      <c r="CE109" s="183">
        <v>1</v>
      </c>
      <c r="CF109" s="318">
        <f>$G109*CD109*CE109</f>
        <v>0</v>
      </c>
      <c r="CG109" s="358"/>
      <c r="CH109" s="358"/>
      <c r="CI109" s="358"/>
      <c r="CJ109" s="358"/>
      <c r="CK109" s="358"/>
      <c r="CL109" s="358"/>
      <c r="CM109" s="247"/>
      <c r="CN109" s="318" t="e">
        <f>CF109*CM$100</f>
        <v>#REF!</v>
      </c>
      <c r="CP109" s="6"/>
      <c r="CQ109" s="234">
        <f>SUMIF(I$1:CO$1,1,I109:CO109)</f>
        <v>0</v>
      </c>
      <c r="CR109" s="6"/>
      <c r="CS109" s="233" t="e">
        <f>SUMIF(I$1:CO$1,2,I109:CO109)</f>
        <v>#REF!</v>
      </c>
      <c r="CU109" s="233">
        <f>SUMIF(I$1:CO$1,3,I109:CO109)</f>
        <v>6960</v>
      </c>
      <c r="CW109" s="270"/>
      <c r="CX109" s="270"/>
    </row>
    <row r="110" spans="1:102" ht="15" customHeight="1" x14ac:dyDescent="0.25">
      <c r="A110" s="245"/>
      <c r="B110" s="257" t="s">
        <v>388</v>
      </c>
      <c r="C110" s="72" t="s">
        <v>387</v>
      </c>
      <c r="D110" s="265" t="s">
        <v>386</v>
      </c>
      <c r="E110" s="72" t="s">
        <v>232</v>
      </c>
      <c r="F110" s="263">
        <f>((0.0003*(1.014*1.012*1.015)*1.1/1.13)*1.028)*(1.058)</f>
        <v>3.308253559924588E-4</v>
      </c>
      <c r="G110" s="262">
        <f>F110*$G$1</f>
        <v>0</v>
      </c>
      <c r="I110" s="172">
        <v>51250.077882139376</v>
      </c>
      <c r="J110" s="294"/>
      <c r="K110" s="294"/>
      <c r="L110" s="294"/>
      <c r="M110" s="322"/>
      <c r="N110" s="321">
        <f>SUM(I110:M110)</f>
        <v>51250.077882139376</v>
      </c>
      <c r="O110" s="183">
        <v>1</v>
      </c>
      <c r="P110" s="366"/>
      <c r="Q110" s="358"/>
      <c r="R110" s="358"/>
      <c r="S110" s="358"/>
      <c r="T110" s="358"/>
      <c r="U110" s="358"/>
      <c r="V110" s="358"/>
      <c r="W110" s="247"/>
      <c r="X110" s="318">
        <f>P110*W$100</f>
        <v>0</v>
      </c>
      <c r="Z110" s="172"/>
      <c r="AA110" s="376"/>
      <c r="AB110" s="171"/>
      <c r="AC110" s="171"/>
      <c r="AD110" s="170"/>
      <c r="AE110" s="321">
        <f>SUM(Z110:AD110)</f>
        <v>0</v>
      </c>
      <c r="AF110" s="183">
        <v>1</v>
      </c>
      <c r="AG110" s="318"/>
      <c r="AH110" s="358"/>
      <c r="AI110" s="358"/>
      <c r="AJ110" s="358"/>
      <c r="AK110" s="358"/>
      <c r="AL110" s="358"/>
      <c r="AM110" s="358"/>
      <c r="AN110" s="247"/>
      <c r="AO110" s="318">
        <f>AG110*AN$100</f>
        <v>0</v>
      </c>
      <c r="AQ110" s="172"/>
      <c r="AR110" s="294"/>
      <c r="AS110" s="294"/>
      <c r="AT110" s="294"/>
      <c r="AU110" s="242"/>
      <c r="AV110" s="317">
        <f>SUM(AQ110:AU110)</f>
        <v>0</v>
      </c>
      <c r="AW110" s="183">
        <v>1</v>
      </c>
      <c r="AX110" s="318"/>
      <c r="AY110" s="358"/>
      <c r="AZ110" s="358"/>
      <c r="BA110" s="358"/>
      <c r="BB110" s="358"/>
      <c r="BC110" s="358"/>
      <c r="BD110" s="358"/>
      <c r="BE110" s="247"/>
      <c r="BF110" s="318"/>
      <c r="BH110" s="370"/>
      <c r="BI110" s="377"/>
      <c r="BJ110" s="377"/>
      <c r="BK110" s="377"/>
      <c r="BL110" s="165"/>
      <c r="BM110" s="319">
        <f>SUM(BH110:BL110)</f>
        <v>0</v>
      </c>
      <c r="BN110" s="183">
        <v>1</v>
      </c>
      <c r="BO110" s="318">
        <f>$G110*BM110*BN110</f>
        <v>0</v>
      </c>
      <c r="BP110" s="358"/>
      <c r="BQ110" s="358"/>
      <c r="BR110" s="358"/>
      <c r="BS110" s="358"/>
      <c r="BT110" s="358"/>
      <c r="BU110" s="358"/>
      <c r="BV110" s="247"/>
      <c r="BW110" s="318" t="e">
        <f>BO110*BV$100</f>
        <v>#REF!</v>
      </c>
      <c r="BY110" s="370"/>
      <c r="BZ110" s="377"/>
      <c r="CA110" s="377"/>
      <c r="CB110" s="377"/>
      <c r="CC110" s="165"/>
      <c r="CD110" s="319">
        <f>SUM(BY110:CC110)</f>
        <v>0</v>
      </c>
      <c r="CE110" s="183">
        <v>1</v>
      </c>
      <c r="CF110" s="318">
        <f>$G110*CD110*CE110</f>
        <v>0</v>
      </c>
      <c r="CG110" s="358"/>
      <c r="CH110" s="358"/>
      <c r="CI110" s="358"/>
      <c r="CJ110" s="358"/>
      <c r="CK110" s="358"/>
      <c r="CL110" s="358"/>
      <c r="CM110" s="247"/>
      <c r="CN110" s="318" t="e">
        <f>CF110*CM$100</f>
        <v>#REF!</v>
      </c>
      <c r="CP110" s="6"/>
      <c r="CQ110" s="234">
        <f>SUMIF(I$1:CO$1,1,I110:CO110)</f>
        <v>0</v>
      </c>
      <c r="CR110" s="6"/>
      <c r="CS110" s="233" t="e">
        <f>SUMIF(I$1:CO$1,2,I110:CO110)</f>
        <v>#REF!</v>
      </c>
      <c r="CU110" s="233">
        <f>SUMIF(I$1:CO$1,3,I110:CO110)</f>
        <v>0</v>
      </c>
      <c r="CW110" s="270"/>
      <c r="CX110" s="270"/>
    </row>
    <row r="111" spans="1:102" ht="15" customHeight="1" x14ac:dyDescent="0.25">
      <c r="A111" s="245"/>
      <c r="B111" s="244"/>
      <c r="C111" s="72" t="s">
        <v>385</v>
      </c>
      <c r="D111" s="265" t="s">
        <v>384</v>
      </c>
      <c r="E111" s="264" t="s">
        <v>104</v>
      </c>
      <c r="F111" s="313">
        <f>((0.6*(1.014*1.012*1.015)*1.1/1.13)*1.028)*(1.058)</f>
        <v>0.66165071198491754</v>
      </c>
      <c r="G111" s="262">
        <f>F111*$G$1</f>
        <v>0</v>
      </c>
      <c r="I111" s="172"/>
      <c r="J111" s="294"/>
      <c r="K111" s="294"/>
      <c r="L111" s="294"/>
      <c r="M111" s="322"/>
      <c r="N111" s="321">
        <f>SUM(I111:M111)</f>
        <v>0</v>
      </c>
      <c r="O111" s="183">
        <v>1</v>
      </c>
      <c r="P111" s="366"/>
      <c r="Q111" s="358"/>
      <c r="R111" s="358"/>
      <c r="S111" s="358"/>
      <c r="T111" s="358"/>
      <c r="U111" s="358"/>
      <c r="V111" s="358"/>
      <c r="W111" s="247"/>
      <c r="X111" s="318">
        <f>P111*W$100</f>
        <v>0</v>
      </c>
      <c r="Z111" s="172"/>
      <c r="AA111" s="376"/>
      <c r="AB111" s="171"/>
      <c r="AC111" s="171"/>
      <c r="AD111" s="170"/>
      <c r="AE111" s="321">
        <f>SUM(Z111:AD111)</f>
        <v>0</v>
      </c>
      <c r="AF111" s="183">
        <v>1</v>
      </c>
      <c r="AG111" s="318"/>
      <c r="AH111" s="358"/>
      <c r="AI111" s="358"/>
      <c r="AJ111" s="358"/>
      <c r="AK111" s="358"/>
      <c r="AL111" s="358"/>
      <c r="AM111" s="358"/>
      <c r="AN111" s="247"/>
      <c r="AO111" s="318">
        <f>AG111*AN$100</f>
        <v>0</v>
      </c>
      <c r="AQ111" s="172"/>
      <c r="AR111" s="294"/>
      <c r="AS111" s="294"/>
      <c r="AT111" s="294"/>
      <c r="AU111" s="242"/>
      <c r="AV111" s="317">
        <f>SUM(AQ111:AU111)</f>
        <v>0</v>
      </c>
      <c r="AW111" s="183">
        <v>1</v>
      </c>
      <c r="AX111" s="318"/>
      <c r="AY111" s="358"/>
      <c r="AZ111" s="358"/>
      <c r="BA111" s="358"/>
      <c r="BB111" s="358"/>
      <c r="BC111" s="358"/>
      <c r="BD111" s="358"/>
      <c r="BE111" s="247"/>
      <c r="BF111" s="318"/>
      <c r="BH111" s="370"/>
      <c r="BI111" s="320"/>
      <c r="BJ111" s="320"/>
      <c r="BK111" s="320"/>
      <c r="BL111" s="165"/>
      <c r="BM111" s="319">
        <f>SUM(BH111:BL111)</f>
        <v>0</v>
      </c>
      <c r="BN111" s="183">
        <v>1</v>
      </c>
      <c r="BO111" s="318">
        <f>$G111*BM111*BN111</f>
        <v>0</v>
      </c>
      <c r="BP111" s="358"/>
      <c r="BQ111" s="358"/>
      <c r="BR111" s="358"/>
      <c r="BS111" s="358"/>
      <c r="BT111" s="358"/>
      <c r="BU111" s="358"/>
      <c r="BV111" s="247"/>
      <c r="BW111" s="318" t="e">
        <f>BO111*BV$100</f>
        <v>#REF!</v>
      </c>
      <c r="BY111" s="370"/>
      <c r="BZ111" s="320"/>
      <c r="CA111" s="320"/>
      <c r="CB111" s="320"/>
      <c r="CC111" s="165"/>
      <c r="CD111" s="319">
        <f>SUM(BY111:CC111)</f>
        <v>0</v>
      </c>
      <c r="CE111" s="183">
        <v>1</v>
      </c>
      <c r="CF111" s="318">
        <f>$G111*CD111*CE111</f>
        <v>0</v>
      </c>
      <c r="CG111" s="358"/>
      <c r="CH111" s="358"/>
      <c r="CI111" s="358"/>
      <c r="CJ111" s="358"/>
      <c r="CK111" s="358"/>
      <c r="CL111" s="358"/>
      <c r="CM111" s="247"/>
      <c r="CN111" s="318" t="e">
        <f>CF111*CM$100</f>
        <v>#REF!</v>
      </c>
      <c r="CP111" s="6"/>
      <c r="CQ111" s="234">
        <f>SUMIF(I$1:CO$1,1,I111:CO111)</f>
        <v>0</v>
      </c>
      <c r="CR111" s="6"/>
      <c r="CS111" s="233" t="e">
        <f>SUMIF(I$1:CO$1,2,I111:CO111)</f>
        <v>#REF!</v>
      </c>
      <c r="CU111" s="233">
        <f>SUMIF(I$1:CO$1,3,I111:CO111)</f>
        <v>0</v>
      </c>
      <c r="CW111" s="270"/>
      <c r="CX111" s="270"/>
    </row>
    <row r="112" spans="1:102" ht="15" customHeight="1" x14ac:dyDescent="0.25">
      <c r="A112" s="245"/>
      <c r="B112" s="244"/>
      <c r="C112" s="72" t="s">
        <v>383</v>
      </c>
      <c r="D112" s="265" t="s">
        <v>382</v>
      </c>
      <c r="E112" s="72" t="s">
        <v>232</v>
      </c>
      <c r="F112" s="263">
        <f>((0.0003*(1.014*1.012*1.015)*1.1/1.13)*1.028)*(1.058)</f>
        <v>3.308253559924588E-4</v>
      </c>
      <c r="G112" s="262">
        <f>F112*$G$1</f>
        <v>0</v>
      </c>
      <c r="I112" s="182"/>
      <c r="J112" s="301"/>
      <c r="K112" s="301"/>
      <c r="L112" s="301"/>
      <c r="M112" s="357"/>
      <c r="N112" s="321">
        <f>SUM(I112:M112)</f>
        <v>0</v>
      </c>
      <c r="O112" s="183">
        <v>1</v>
      </c>
      <c r="P112" s="366"/>
      <c r="Q112" s="358"/>
      <c r="R112" s="358"/>
      <c r="S112" s="358"/>
      <c r="T112" s="358"/>
      <c r="U112" s="358"/>
      <c r="V112" s="358"/>
      <c r="W112" s="247"/>
      <c r="X112" s="318">
        <f>P112*W$100</f>
        <v>0</v>
      </c>
      <c r="Z112" s="182"/>
      <c r="AA112" s="375"/>
      <c r="AB112" s="181"/>
      <c r="AC112" s="181"/>
      <c r="AD112" s="180"/>
      <c r="AE112" s="321">
        <f>SUM(Z112:AD112)</f>
        <v>0</v>
      </c>
      <c r="AF112" s="183">
        <v>1</v>
      </c>
      <c r="AG112" s="318"/>
      <c r="AH112" s="358"/>
      <c r="AI112" s="358"/>
      <c r="AJ112" s="358"/>
      <c r="AK112" s="358"/>
      <c r="AL112" s="358"/>
      <c r="AM112" s="358"/>
      <c r="AN112" s="247"/>
      <c r="AO112" s="318">
        <f>AG112*AN$100</f>
        <v>0</v>
      </c>
      <c r="AQ112" s="182"/>
      <c r="AR112" s="301"/>
      <c r="AS112" s="301"/>
      <c r="AT112" s="301"/>
      <c r="AU112" s="282"/>
      <c r="AV112" s="317">
        <f>SUM(AQ112:AU112)</f>
        <v>0</v>
      </c>
      <c r="AW112" s="183">
        <v>1</v>
      </c>
      <c r="AX112" s="318"/>
      <c r="AY112" s="358"/>
      <c r="AZ112" s="358"/>
      <c r="BA112" s="358"/>
      <c r="BB112" s="358"/>
      <c r="BC112" s="358"/>
      <c r="BD112" s="358"/>
      <c r="BE112" s="247"/>
      <c r="BF112" s="318"/>
      <c r="BH112" s="374"/>
      <c r="BI112" s="373"/>
      <c r="BJ112" s="373"/>
      <c r="BK112" s="373"/>
      <c r="BL112" s="372"/>
      <c r="BM112" s="319">
        <f>SUM(BH112:BL112)</f>
        <v>0</v>
      </c>
      <c r="BN112" s="183">
        <v>1</v>
      </c>
      <c r="BO112" s="318">
        <f>$G112*BM112*BN112</f>
        <v>0</v>
      </c>
      <c r="BP112" s="358"/>
      <c r="BQ112" s="358"/>
      <c r="BR112" s="358"/>
      <c r="BS112" s="358"/>
      <c r="BT112" s="358"/>
      <c r="BU112" s="358"/>
      <c r="BV112" s="247"/>
      <c r="BW112" s="318" t="e">
        <f>BO112*BV$100</f>
        <v>#REF!</v>
      </c>
      <c r="BY112" s="374"/>
      <c r="BZ112" s="373"/>
      <c r="CA112" s="373"/>
      <c r="CB112" s="373"/>
      <c r="CC112" s="372"/>
      <c r="CD112" s="319">
        <f>SUM(BY112:CC112)</f>
        <v>0</v>
      </c>
      <c r="CE112" s="183">
        <v>1</v>
      </c>
      <c r="CF112" s="318">
        <f>$G112*CD112*CE112</f>
        <v>0</v>
      </c>
      <c r="CG112" s="358"/>
      <c r="CH112" s="358"/>
      <c r="CI112" s="358"/>
      <c r="CJ112" s="358"/>
      <c r="CK112" s="358"/>
      <c r="CL112" s="358"/>
      <c r="CM112" s="247"/>
      <c r="CN112" s="318" t="e">
        <f>CF112*CM$100</f>
        <v>#REF!</v>
      </c>
      <c r="CP112" s="6"/>
      <c r="CQ112" s="234">
        <f>SUMIF(I$1:CO$1,1,I112:CO112)</f>
        <v>0</v>
      </c>
      <c r="CR112" s="6"/>
      <c r="CS112" s="233" t="e">
        <f>SUMIF(I$1:CO$1,2,I112:CO112)</f>
        <v>#REF!</v>
      </c>
      <c r="CU112" s="233">
        <f>SUMIF(I$1:CO$1,3,I112:CO112)</f>
        <v>0</v>
      </c>
      <c r="CW112" s="270"/>
      <c r="CX112" s="270"/>
    </row>
    <row r="113" spans="1:102" ht="15" customHeight="1" x14ac:dyDescent="0.25">
      <c r="A113" s="245"/>
      <c r="B113" s="244"/>
      <c r="C113" s="72" t="s">
        <v>381</v>
      </c>
      <c r="D113" s="265" t="s">
        <v>380</v>
      </c>
      <c r="E113" s="72" t="s">
        <v>270</v>
      </c>
      <c r="F113" s="263">
        <f>((0.0025*(1.014*1.012*1.015)*1.1/1.13)*1.028)*(1.058)</f>
        <v>2.7568779666038226E-3</v>
      </c>
      <c r="G113" s="262">
        <f>F113*$G$1</f>
        <v>0</v>
      </c>
      <c r="I113" s="172"/>
      <c r="J113" s="294"/>
      <c r="K113" s="294"/>
      <c r="L113" s="294"/>
      <c r="M113" s="322"/>
      <c r="N113" s="321">
        <f>SUM(I113:M113)</f>
        <v>0</v>
      </c>
      <c r="O113" s="183">
        <v>1</v>
      </c>
      <c r="P113" s="366"/>
      <c r="Q113" s="358"/>
      <c r="R113" s="358"/>
      <c r="S113" s="358"/>
      <c r="T113" s="358"/>
      <c r="U113" s="358"/>
      <c r="V113" s="358"/>
      <c r="W113" s="247"/>
      <c r="X113" s="318">
        <f>P113*W$100</f>
        <v>0</v>
      </c>
      <c r="Z113" s="172"/>
      <c r="AA113" s="371"/>
      <c r="AB113" s="171"/>
      <c r="AC113" s="171"/>
      <c r="AD113" s="170"/>
      <c r="AE113" s="321">
        <f>SUM(Z113:AD113)</f>
        <v>0</v>
      </c>
      <c r="AF113" s="183">
        <v>1</v>
      </c>
      <c r="AG113" s="318"/>
      <c r="AH113" s="358"/>
      <c r="AI113" s="358"/>
      <c r="AJ113" s="358"/>
      <c r="AK113" s="358"/>
      <c r="AL113" s="358"/>
      <c r="AM113" s="358"/>
      <c r="AN113" s="247"/>
      <c r="AO113" s="318">
        <f>AG113*AN$100</f>
        <v>0</v>
      </c>
      <c r="AQ113" s="172"/>
      <c r="AR113" s="294"/>
      <c r="AS113" s="294"/>
      <c r="AT113" s="294"/>
      <c r="AU113" s="242"/>
      <c r="AV113" s="317">
        <f>SUM(AQ113:AU113)</f>
        <v>0</v>
      </c>
      <c r="AW113" s="183">
        <v>1</v>
      </c>
      <c r="AX113" s="318"/>
      <c r="AY113" s="358"/>
      <c r="AZ113" s="358"/>
      <c r="BA113" s="358"/>
      <c r="BB113" s="358"/>
      <c r="BC113" s="358"/>
      <c r="BD113" s="358"/>
      <c r="BE113" s="247"/>
      <c r="BF113" s="318"/>
      <c r="BH113" s="370"/>
      <c r="BI113" s="369"/>
      <c r="BJ113" s="369"/>
      <c r="BK113" s="369"/>
      <c r="BL113" s="368"/>
      <c r="BM113" s="319">
        <f>SUM(BH113:BL113)</f>
        <v>0</v>
      </c>
      <c r="BN113" s="183">
        <v>1</v>
      </c>
      <c r="BO113" s="318">
        <f>$G113*BM113*BN113</f>
        <v>0</v>
      </c>
      <c r="BP113" s="358"/>
      <c r="BQ113" s="358"/>
      <c r="BR113" s="358"/>
      <c r="BS113" s="358"/>
      <c r="BT113" s="358"/>
      <c r="BU113" s="358"/>
      <c r="BV113" s="247"/>
      <c r="BW113" s="318" t="e">
        <f>BO113*BV$100</f>
        <v>#REF!</v>
      </c>
      <c r="BY113" s="370"/>
      <c r="BZ113" s="369"/>
      <c r="CA113" s="369"/>
      <c r="CB113" s="369"/>
      <c r="CC113" s="368"/>
      <c r="CD113" s="317">
        <f>SUM(BY113:CC113)</f>
        <v>0</v>
      </c>
      <c r="CE113" s="183">
        <v>1</v>
      </c>
      <c r="CF113" s="318">
        <f>$G113*CD113*CE113</f>
        <v>0</v>
      </c>
      <c r="CG113" s="358"/>
      <c r="CH113" s="358"/>
      <c r="CI113" s="358"/>
      <c r="CJ113" s="358"/>
      <c r="CK113" s="358"/>
      <c r="CL113" s="358"/>
      <c r="CM113" s="247"/>
      <c r="CN113" s="318" t="e">
        <f>CF113*CM$100</f>
        <v>#REF!</v>
      </c>
      <c r="CP113" s="6"/>
      <c r="CQ113" s="234">
        <f>SUMIF(I$1:CO$1,1,I113:CO113)</f>
        <v>0</v>
      </c>
      <c r="CR113" s="6"/>
      <c r="CS113" s="233" t="e">
        <f>SUMIF(I$1:CO$1,2,I113:CO113)</f>
        <v>#REF!</v>
      </c>
      <c r="CU113" s="233">
        <f>SUMIF(I$1:CO$1,3,I113:CO113)</f>
        <v>0</v>
      </c>
      <c r="CW113" s="270"/>
      <c r="CX113" s="270"/>
    </row>
    <row r="114" spans="1:102" ht="15" customHeight="1" x14ac:dyDescent="0.25">
      <c r="A114" s="245"/>
      <c r="B114" s="269"/>
      <c r="C114" s="72" t="s">
        <v>379</v>
      </c>
      <c r="D114" s="265" t="s">
        <v>378</v>
      </c>
      <c r="E114" s="72" t="s">
        <v>232</v>
      </c>
      <c r="F114" s="263">
        <f>((0.0032*(1.014*1.012*1.015)*1.1/1.13)*1.028)*(1.058)</f>
        <v>3.528803797252894E-3</v>
      </c>
      <c r="G114" s="262">
        <f>F114*$G$1</f>
        <v>0</v>
      </c>
      <c r="I114" s="172"/>
      <c r="J114" s="294"/>
      <c r="K114" s="294"/>
      <c r="L114" s="294"/>
      <c r="M114" s="322"/>
      <c r="N114" s="321">
        <f>SUM(I114:M114)</f>
        <v>0</v>
      </c>
      <c r="O114" s="183">
        <v>1</v>
      </c>
      <c r="P114" s="366"/>
      <c r="Q114" s="358"/>
      <c r="R114" s="358"/>
      <c r="S114" s="358"/>
      <c r="T114" s="358"/>
      <c r="U114" s="358"/>
      <c r="V114" s="358"/>
      <c r="W114" s="247"/>
      <c r="X114" s="318">
        <f>P114*W$100</f>
        <v>0</v>
      </c>
      <c r="Z114" s="172"/>
      <c r="AA114" s="371"/>
      <c r="AB114" s="171"/>
      <c r="AC114" s="171"/>
      <c r="AD114" s="170"/>
      <c r="AE114" s="321">
        <f>SUM(Z114:AD114)</f>
        <v>0</v>
      </c>
      <c r="AF114" s="183">
        <v>1</v>
      </c>
      <c r="AG114" s="318"/>
      <c r="AH114" s="358"/>
      <c r="AI114" s="358"/>
      <c r="AJ114" s="358"/>
      <c r="AK114" s="358"/>
      <c r="AL114" s="358"/>
      <c r="AM114" s="358"/>
      <c r="AN114" s="247"/>
      <c r="AO114" s="318">
        <f>AG114*AN$100</f>
        <v>0</v>
      </c>
      <c r="AQ114" s="172"/>
      <c r="AR114" s="294"/>
      <c r="AS114" s="294"/>
      <c r="AT114" s="294"/>
      <c r="AU114" s="242"/>
      <c r="AV114" s="317">
        <f>SUM(AQ114:AU114)</f>
        <v>0</v>
      </c>
      <c r="AW114" s="183">
        <v>1</v>
      </c>
      <c r="AX114" s="318"/>
      <c r="AY114" s="358"/>
      <c r="AZ114" s="358"/>
      <c r="BA114" s="358"/>
      <c r="BB114" s="358"/>
      <c r="BC114" s="358"/>
      <c r="BD114" s="358"/>
      <c r="BE114" s="247"/>
      <c r="BF114" s="318"/>
      <c r="BH114" s="370"/>
      <c r="BI114" s="369"/>
      <c r="BJ114" s="369"/>
      <c r="BK114" s="369"/>
      <c r="BL114" s="368"/>
      <c r="BM114" s="319">
        <f>SUM(BH114:BL114)</f>
        <v>0</v>
      </c>
      <c r="BN114" s="183">
        <v>1</v>
      </c>
      <c r="BO114" s="318">
        <f>$G114*BM114*BN114</f>
        <v>0</v>
      </c>
      <c r="BP114" s="358"/>
      <c r="BQ114" s="358"/>
      <c r="BR114" s="358"/>
      <c r="BS114" s="358"/>
      <c r="BT114" s="358"/>
      <c r="BU114" s="358"/>
      <c r="BV114" s="247"/>
      <c r="BW114" s="318" t="e">
        <f>BO114*BV$100</f>
        <v>#REF!</v>
      </c>
      <c r="BY114" s="370"/>
      <c r="BZ114" s="369"/>
      <c r="CA114" s="369"/>
      <c r="CB114" s="369"/>
      <c r="CC114" s="368"/>
      <c r="CD114" s="319">
        <f>SUM(BY114:CC114)</f>
        <v>0</v>
      </c>
      <c r="CE114" s="183">
        <v>1</v>
      </c>
      <c r="CF114" s="318">
        <f>$G114*CD114*CE114</f>
        <v>0</v>
      </c>
      <c r="CG114" s="358"/>
      <c r="CH114" s="358"/>
      <c r="CI114" s="358"/>
      <c r="CJ114" s="358"/>
      <c r="CK114" s="358"/>
      <c r="CL114" s="358"/>
      <c r="CM114" s="247"/>
      <c r="CN114" s="318" t="e">
        <f>CF114*CM$100</f>
        <v>#REF!</v>
      </c>
      <c r="CP114" s="6"/>
      <c r="CQ114" s="234">
        <f>SUMIF(I$1:CO$1,1,I114:CO114)</f>
        <v>0</v>
      </c>
      <c r="CR114" s="6"/>
      <c r="CS114" s="233" t="e">
        <f>SUMIF(I$1:CO$1,2,I114:CO114)</f>
        <v>#REF!</v>
      </c>
      <c r="CU114" s="233">
        <f>SUMIF(I$1:CO$1,3,I114:CO114)</f>
        <v>0</v>
      </c>
      <c r="CW114" s="270"/>
      <c r="CX114" s="270"/>
    </row>
    <row r="115" spans="1:102" ht="15" customHeight="1" x14ac:dyDescent="0.25">
      <c r="A115" s="245"/>
      <c r="B115" s="257" t="s">
        <v>178</v>
      </c>
      <c r="C115" s="72" t="s">
        <v>52</v>
      </c>
      <c r="D115" s="255" t="s">
        <v>175</v>
      </c>
      <c r="E115" s="254"/>
      <c r="F115" s="253"/>
      <c r="G115" s="253">
        <f>F115</f>
        <v>0</v>
      </c>
      <c r="I115" s="344"/>
      <c r="J115" s="343"/>
      <c r="K115" s="343"/>
      <c r="L115" s="343"/>
      <c r="M115" s="347"/>
      <c r="N115" s="243">
        <f>SUM(I115:M115)</f>
        <v>0</v>
      </c>
      <c r="O115" s="349">
        <v>1</v>
      </c>
      <c r="P115" s="362"/>
      <c r="Q115" s="358"/>
      <c r="R115" s="358"/>
      <c r="S115" s="358"/>
      <c r="T115" s="358"/>
      <c r="U115" s="358"/>
      <c r="V115" s="358"/>
      <c r="W115" s="247"/>
      <c r="X115" s="318">
        <f>P115*W$100</f>
        <v>0</v>
      </c>
      <c r="Z115" s="344"/>
      <c r="AA115" s="346"/>
      <c r="AB115" s="346"/>
      <c r="AC115" s="346"/>
      <c r="AD115" s="345"/>
      <c r="AE115" s="243">
        <f>SUM(Z115:AD115)</f>
        <v>0</v>
      </c>
      <c r="AF115" s="349">
        <v>1</v>
      </c>
      <c r="AG115" s="235"/>
      <c r="AH115" s="358"/>
      <c r="AI115" s="358"/>
      <c r="AJ115" s="358"/>
      <c r="AK115" s="358"/>
      <c r="AL115" s="358"/>
      <c r="AM115" s="358"/>
      <c r="AN115" s="247"/>
      <c r="AO115" s="318">
        <f>AG115*AN$100</f>
        <v>0</v>
      </c>
      <c r="AQ115" s="344"/>
      <c r="AR115" s="343"/>
      <c r="AS115" s="343"/>
      <c r="AT115" s="343"/>
      <c r="AU115" s="342"/>
      <c r="AV115" s="241">
        <f>SUM(AQ115:AU115)</f>
        <v>0</v>
      </c>
      <c r="AW115" s="349">
        <v>1</v>
      </c>
      <c r="AX115" s="235"/>
      <c r="AY115" s="358"/>
      <c r="AZ115" s="358"/>
      <c r="BA115" s="358"/>
      <c r="BB115" s="358"/>
      <c r="BC115" s="358"/>
      <c r="BD115" s="358"/>
      <c r="BE115" s="247"/>
      <c r="BF115" s="318"/>
      <c r="BH115" s="361"/>
      <c r="BI115" s="360"/>
      <c r="BJ115" s="360"/>
      <c r="BK115" s="360"/>
      <c r="BL115" s="359"/>
      <c r="BM115" s="240">
        <f>SUM(BH115:BL115)</f>
        <v>0</v>
      </c>
      <c r="BN115" s="349">
        <v>1</v>
      </c>
      <c r="BO115" s="235">
        <f>$G115*BM115*BN115</f>
        <v>0</v>
      </c>
      <c r="BP115" s="358"/>
      <c r="BQ115" s="358"/>
      <c r="BR115" s="358"/>
      <c r="BS115" s="358"/>
      <c r="BT115" s="358"/>
      <c r="BU115" s="358"/>
      <c r="BV115" s="247"/>
      <c r="BW115" s="318" t="e">
        <f>BO115*BV$100</f>
        <v>#REF!</v>
      </c>
      <c r="BY115" s="367"/>
      <c r="BZ115" s="360"/>
      <c r="CA115" s="360"/>
      <c r="CB115" s="360"/>
      <c r="CC115" s="359"/>
      <c r="CD115" s="240">
        <f>SUM(BY115:CC115)</f>
        <v>0</v>
      </c>
      <c r="CE115" s="349">
        <v>1</v>
      </c>
      <c r="CF115" s="235">
        <f>$G115*CD115*CE115</f>
        <v>0</v>
      </c>
      <c r="CG115" s="358"/>
      <c r="CH115" s="358"/>
      <c r="CI115" s="358"/>
      <c r="CJ115" s="358"/>
      <c r="CK115" s="358"/>
      <c r="CL115" s="358"/>
      <c r="CM115" s="247"/>
      <c r="CN115" s="318" t="e">
        <f>CF115*CM$100</f>
        <v>#REF!</v>
      </c>
      <c r="CP115" s="6"/>
      <c r="CQ115" s="234">
        <f>SUMIF(I$1:CO$1,1,I115:CO115)</f>
        <v>0</v>
      </c>
      <c r="CR115" s="6"/>
      <c r="CS115" s="233" t="e">
        <f>SUMIF(I$1:CO$1,2,I115:CO115)</f>
        <v>#REF!</v>
      </c>
      <c r="CU115" s="233">
        <f>SUMIF(I$1:CO$1,3,I115:CO115)</f>
        <v>0</v>
      </c>
      <c r="CW115" s="270"/>
      <c r="CX115" s="270"/>
    </row>
    <row r="116" spans="1:102" ht="15" customHeight="1" x14ac:dyDescent="0.25">
      <c r="A116" s="245"/>
      <c r="B116" s="244"/>
      <c r="C116" s="72" t="s">
        <v>51</v>
      </c>
      <c r="D116" s="255" t="s">
        <v>175</v>
      </c>
      <c r="E116" s="254"/>
      <c r="F116" s="253"/>
      <c r="G116" s="253">
        <f>F116</f>
        <v>0</v>
      </c>
      <c r="I116" s="344"/>
      <c r="J116" s="343"/>
      <c r="K116" s="343"/>
      <c r="L116" s="343"/>
      <c r="M116" s="347"/>
      <c r="N116" s="321">
        <f>SUM(I116:M116)</f>
        <v>0</v>
      </c>
      <c r="O116" s="348">
        <v>1</v>
      </c>
      <c r="P116" s="366"/>
      <c r="Q116" s="358"/>
      <c r="R116" s="358"/>
      <c r="S116" s="358"/>
      <c r="T116" s="358"/>
      <c r="U116" s="358"/>
      <c r="V116" s="358"/>
      <c r="W116" s="247"/>
      <c r="X116" s="318">
        <f>P116*W$100</f>
        <v>0</v>
      </c>
      <c r="Z116" s="344"/>
      <c r="AA116" s="346"/>
      <c r="AB116" s="346"/>
      <c r="AC116" s="346"/>
      <c r="AD116" s="345"/>
      <c r="AE116" s="321">
        <f>SUM(Z116:AD116)</f>
        <v>0</v>
      </c>
      <c r="AF116" s="348">
        <v>1</v>
      </c>
      <c r="AG116" s="318"/>
      <c r="AH116" s="358"/>
      <c r="AI116" s="358"/>
      <c r="AJ116" s="358"/>
      <c r="AK116" s="358"/>
      <c r="AL116" s="358"/>
      <c r="AM116" s="358"/>
      <c r="AN116" s="247"/>
      <c r="AO116" s="318">
        <f>AG116*AN$100</f>
        <v>0</v>
      </c>
      <c r="AQ116" s="344"/>
      <c r="AR116" s="343"/>
      <c r="AS116" s="343"/>
      <c r="AT116" s="343"/>
      <c r="AU116" s="342"/>
      <c r="AV116" s="317">
        <f>SUM(AQ116:AU116)</f>
        <v>0</v>
      </c>
      <c r="AW116" s="348">
        <v>1</v>
      </c>
      <c r="AX116" s="318"/>
      <c r="AY116" s="358"/>
      <c r="AZ116" s="358"/>
      <c r="BA116" s="358"/>
      <c r="BB116" s="358"/>
      <c r="BC116" s="358"/>
      <c r="BD116" s="358"/>
      <c r="BE116" s="247"/>
      <c r="BF116" s="318"/>
      <c r="BH116" s="361"/>
      <c r="BI116" s="360"/>
      <c r="BJ116" s="360"/>
      <c r="BK116" s="360"/>
      <c r="BL116" s="359"/>
      <c r="BM116" s="319">
        <f>SUM(BH116:BL116)</f>
        <v>0</v>
      </c>
      <c r="BN116" s="348">
        <v>1</v>
      </c>
      <c r="BO116" s="318">
        <f>$G116*BM116*BN116</f>
        <v>0</v>
      </c>
      <c r="BP116" s="358"/>
      <c r="BQ116" s="358"/>
      <c r="BR116" s="358"/>
      <c r="BS116" s="358"/>
      <c r="BT116" s="358"/>
      <c r="BU116" s="358"/>
      <c r="BV116" s="247"/>
      <c r="BW116" s="318" t="e">
        <f>BO116*BV$100</f>
        <v>#REF!</v>
      </c>
      <c r="BY116" s="361"/>
      <c r="BZ116" s="360"/>
      <c r="CA116" s="360"/>
      <c r="CB116" s="360"/>
      <c r="CC116" s="359"/>
      <c r="CD116" s="319">
        <f>SUM(BY116:CC116)</f>
        <v>0</v>
      </c>
      <c r="CE116" s="348">
        <v>1</v>
      </c>
      <c r="CF116" s="318">
        <f>$G116*CD116*CE116</f>
        <v>0</v>
      </c>
      <c r="CG116" s="358"/>
      <c r="CH116" s="358"/>
      <c r="CI116" s="358"/>
      <c r="CJ116" s="358"/>
      <c r="CK116" s="358"/>
      <c r="CL116" s="358"/>
      <c r="CM116" s="247"/>
      <c r="CN116" s="318" t="e">
        <f>CF116*CM$100</f>
        <v>#REF!</v>
      </c>
      <c r="CP116" s="6"/>
      <c r="CQ116" s="234">
        <f>SUMIF(I$1:CO$1,1,I116:CO116)</f>
        <v>0</v>
      </c>
      <c r="CR116" s="6"/>
      <c r="CS116" s="233" t="e">
        <f>SUMIF(I$1:CO$1,2,I116:CO116)</f>
        <v>#REF!</v>
      </c>
      <c r="CU116" s="233">
        <f>SUMIF(I$1:CO$1,3,I116:CO116)</f>
        <v>0</v>
      </c>
      <c r="CW116" s="270"/>
      <c r="CX116" s="270"/>
    </row>
    <row r="117" spans="1:102" ht="15" customHeight="1" x14ac:dyDescent="0.25">
      <c r="A117" s="245"/>
      <c r="B117" s="244"/>
      <c r="C117" s="72" t="s">
        <v>50</v>
      </c>
      <c r="D117" s="255" t="s">
        <v>175</v>
      </c>
      <c r="E117" s="254"/>
      <c r="F117" s="308"/>
      <c r="G117" s="308">
        <f>F117</f>
        <v>0</v>
      </c>
      <c r="I117" s="344"/>
      <c r="J117" s="343"/>
      <c r="K117" s="343"/>
      <c r="L117" s="343"/>
      <c r="M117" s="347"/>
      <c r="N117" s="321">
        <f>SUM(I117:M117)</f>
        <v>0</v>
      </c>
      <c r="O117" s="348">
        <v>1</v>
      </c>
      <c r="P117" s="366"/>
      <c r="Q117" s="358"/>
      <c r="R117" s="358"/>
      <c r="S117" s="358"/>
      <c r="T117" s="358"/>
      <c r="U117" s="358"/>
      <c r="V117" s="358"/>
      <c r="W117" s="247"/>
      <c r="X117" s="318">
        <f>P117*W$100</f>
        <v>0</v>
      </c>
      <c r="Z117" s="344"/>
      <c r="AA117" s="346"/>
      <c r="AB117" s="346"/>
      <c r="AC117" s="346"/>
      <c r="AD117" s="345"/>
      <c r="AE117" s="321">
        <f>SUM(Z117:AD117)</f>
        <v>0</v>
      </c>
      <c r="AF117" s="348">
        <v>1</v>
      </c>
      <c r="AG117" s="318"/>
      <c r="AH117" s="358"/>
      <c r="AI117" s="358"/>
      <c r="AJ117" s="358"/>
      <c r="AK117" s="358"/>
      <c r="AL117" s="358"/>
      <c r="AM117" s="358"/>
      <c r="AN117" s="247"/>
      <c r="AO117" s="318">
        <f>AG117*AN$100</f>
        <v>0</v>
      </c>
      <c r="AQ117" s="344"/>
      <c r="AR117" s="343"/>
      <c r="AS117" s="343"/>
      <c r="AT117" s="343"/>
      <c r="AU117" s="342"/>
      <c r="AV117" s="317">
        <f>SUM(AQ117:AU117)</f>
        <v>0</v>
      </c>
      <c r="AW117" s="348">
        <v>1</v>
      </c>
      <c r="AX117" s="318"/>
      <c r="AY117" s="358"/>
      <c r="AZ117" s="358"/>
      <c r="BA117" s="358"/>
      <c r="BB117" s="358"/>
      <c r="BC117" s="358"/>
      <c r="BD117" s="358"/>
      <c r="BE117" s="247"/>
      <c r="BF117" s="318"/>
      <c r="BH117" s="361"/>
      <c r="BI117" s="360"/>
      <c r="BJ117" s="360"/>
      <c r="BK117" s="360"/>
      <c r="BL117" s="359"/>
      <c r="BM117" s="319">
        <f>SUM(BH117:BL117)</f>
        <v>0</v>
      </c>
      <c r="BN117" s="348">
        <v>1</v>
      </c>
      <c r="BO117" s="318">
        <f>$G117*BM117*BN117</f>
        <v>0</v>
      </c>
      <c r="BP117" s="358"/>
      <c r="BQ117" s="358"/>
      <c r="BR117" s="358"/>
      <c r="BS117" s="358"/>
      <c r="BT117" s="358"/>
      <c r="BU117" s="358"/>
      <c r="BV117" s="247"/>
      <c r="BW117" s="318" t="e">
        <f>BO117*BV$100</f>
        <v>#REF!</v>
      </c>
      <c r="BY117" s="361"/>
      <c r="BZ117" s="360"/>
      <c r="CA117" s="360"/>
      <c r="CB117" s="360"/>
      <c r="CC117" s="359"/>
      <c r="CD117" s="319">
        <f>SUM(BY117:CC117)</f>
        <v>0</v>
      </c>
      <c r="CE117" s="348">
        <v>1</v>
      </c>
      <c r="CF117" s="318">
        <f>$G117*CD117*CE117</f>
        <v>0</v>
      </c>
      <c r="CG117" s="358"/>
      <c r="CH117" s="358"/>
      <c r="CI117" s="358"/>
      <c r="CJ117" s="358"/>
      <c r="CK117" s="358"/>
      <c r="CL117" s="358"/>
      <c r="CM117" s="247"/>
      <c r="CN117" s="318" t="e">
        <f>CF117*CM$100</f>
        <v>#REF!</v>
      </c>
      <c r="CP117" s="6"/>
      <c r="CQ117" s="234">
        <f>SUMIF(I$1:CO$1,1,I117:CO117)</f>
        <v>0</v>
      </c>
      <c r="CR117" s="6"/>
      <c r="CS117" s="233" t="e">
        <f>SUMIF(I$1:CO$1,2,I117:CO117)</f>
        <v>#REF!</v>
      </c>
      <c r="CU117" s="233">
        <f>SUMIF(I$1:CO$1,3,I117:CO117)</f>
        <v>0</v>
      </c>
      <c r="CW117" s="270"/>
      <c r="CX117" s="270"/>
    </row>
    <row r="118" spans="1:102" ht="15" customHeight="1" x14ac:dyDescent="0.25">
      <c r="A118" s="245"/>
      <c r="B118" s="244"/>
      <c r="C118" s="72" t="s">
        <v>49</v>
      </c>
      <c r="D118" s="252" t="s">
        <v>377</v>
      </c>
      <c r="E118" s="174" t="s">
        <v>106</v>
      </c>
      <c r="F118" s="292"/>
      <c r="G118" s="292">
        <f>F118</f>
        <v>0</v>
      </c>
      <c r="I118" s="365"/>
      <c r="J118" s="364"/>
      <c r="K118" s="343"/>
      <c r="L118" s="343">
        <v>0.15374225</v>
      </c>
      <c r="M118" s="347"/>
      <c r="N118" s="243"/>
      <c r="O118" s="239"/>
      <c r="P118" s="362"/>
      <c r="Q118" s="358"/>
      <c r="R118" s="358"/>
      <c r="S118" s="358"/>
      <c r="T118" s="358"/>
      <c r="U118" s="358"/>
      <c r="V118" s="358"/>
      <c r="W118" s="247"/>
      <c r="X118" s="318">
        <f>P118*W$100</f>
        <v>0</v>
      </c>
      <c r="Z118" s="344">
        <v>2.1412290500000002</v>
      </c>
      <c r="AA118" s="346"/>
      <c r="AB118" s="346"/>
      <c r="AC118" s="346"/>
      <c r="AD118" s="345"/>
      <c r="AE118" s="243"/>
      <c r="AF118" s="239"/>
      <c r="AG118" s="235"/>
      <c r="AH118" s="358"/>
      <c r="AI118" s="358"/>
      <c r="AJ118" s="358"/>
      <c r="AK118" s="358"/>
      <c r="AL118" s="358"/>
      <c r="AM118" s="358"/>
      <c r="AN118" s="247"/>
      <c r="AO118" s="318">
        <f>AG118*AN$100</f>
        <v>0</v>
      </c>
      <c r="AQ118" s="344">
        <v>191.96345453999999</v>
      </c>
      <c r="AR118" s="343"/>
      <c r="AS118" s="343"/>
      <c r="AT118" s="343"/>
      <c r="AU118" s="342"/>
      <c r="AV118" s="241"/>
      <c r="AW118" s="239"/>
      <c r="AX118" s="235"/>
      <c r="AY118" s="358"/>
      <c r="AZ118" s="358"/>
      <c r="BA118" s="358"/>
      <c r="BB118" s="358"/>
      <c r="BC118" s="358"/>
      <c r="BD118" s="358"/>
      <c r="BE118" s="247"/>
      <c r="BF118" s="318"/>
      <c r="BH118" s="361"/>
      <c r="BI118" s="360"/>
      <c r="BJ118" s="360"/>
      <c r="BK118" s="360"/>
      <c r="BL118" s="359"/>
      <c r="BM118" s="240"/>
      <c r="BN118" s="239"/>
      <c r="BO118" s="235">
        <f>SUM(BH118:BL118)</f>
        <v>0</v>
      </c>
      <c r="BP118" s="358"/>
      <c r="BQ118" s="358"/>
      <c r="BR118" s="358"/>
      <c r="BS118" s="358"/>
      <c r="BT118" s="358"/>
      <c r="BU118" s="358"/>
      <c r="BV118" s="247"/>
      <c r="BW118" s="318" t="e">
        <f>BO118*BV$100</f>
        <v>#REF!</v>
      </c>
      <c r="BY118" s="361"/>
      <c r="BZ118" s="360"/>
      <c r="CA118" s="360"/>
      <c r="CB118" s="360"/>
      <c r="CC118" s="359"/>
      <c r="CD118" s="240"/>
      <c r="CE118" s="239"/>
      <c r="CF118" s="235">
        <f>SUM(BY118:CC118)</f>
        <v>0</v>
      </c>
      <c r="CG118" s="358"/>
      <c r="CH118" s="358"/>
      <c r="CI118" s="358"/>
      <c r="CJ118" s="358"/>
      <c r="CK118" s="358"/>
      <c r="CL118" s="358"/>
      <c r="CM118" s="247"/>
      <c r="CN118" s="318" t="e">
        <f>CF118*CM$100</f>
        <v>#REF!</v>
      </c>
      <c r="CP118" s="6"/>
      <c r="CQ118" s="234">
        <f>SUMIF(I$1:CO$1,1,I118:CO118)</f>
        <v>0</v>
      </c>
      <c r="CR118" s="6"/>
      <c r="CS118" s="233" t="e">
        <f>SUMIF(I$1:CO$1,2,I118:CO118)</f>
        <v>#REF!</v>
      </c>
      <c r="CU118" s="246"/>
      <c r="CW118" s="270"/>
      <c r="CX118" s="270"/>
    </row>
    <row r="119" spans="1:102" ht="15" customHeight="1" x14ac:dyDescent="0.25">
      <c r="A119" s="245"/>
      <c r="B119" s="244"/>
      <c r="C119" s="72" t="s">
        <v>48</v>
      </c>
      <c r="D119" s="252" t="s">
        <v>376</v>
      </c>
      <c r="E119" s="174" t="s">
        <v>106</v>
      </c>
      <c r="F119" s="292"/>
      <c r="G119" s="292">
        <f>F119</f>
        <v>0</v>
      </c>
      <c r="I119" s="251"/>
      <c r="J119" s="363"/>
      <c r="K119" s="294">
        <v>29.303230184323912</v>
      </c>
      <c r="L119" s="294">
        <v>5.8999792317430702</v>
      </c>
      <c r="M119" s="322">
        <v>23.094204421394302</v>
      </c>
      <c r="N119" s="243"/>
      <c r="O119" s="239"/>
      <c r="P119" s="362"/>
      <c r="Q119" s="358"/>
      <c r="R119" s="358"/>
      <c r="S119" s="358"/>
      <c r="T119" s="358"/>
      <c r="U119" s="358"/>
      <c r="V119" s="358"/>
      <c r="W119" s="236"/>
      <c r="X119" s="318">
        <f>P119*W$100</f>
        <v>0</v>
      </c>
      <c r="Z119" s="172">
        <v>20.088024527125214</v>
      </c>
      <c r="AA119" s="171">
        <v>39.754621966268779</v>
      </c>
      <c r="AB119" s="171">
        <v>13.251540655422927</v>
      </c>
      <c r="AC119" s="171">
        <v>49.026017901865032</v>
      </c>
      <c r="AD119" s="170">
        <v>19.867945936734799</v>
      </c>
      <c r="AE119" s="243"/>
      <c r="AF119" s="239"/>
      <c r="AG119" s="235"/>
      <c r="AH119" s="358"/>
      <c r="AI119" s="358"/>
      <c r="AJ119" s="358"/>
      <c r="AK119" s="358"/>
      <c r="AL119" s="358"/>
      <c r="AM119" s="358"/>
      <c r="AN119" s="236"/>
      <c r="AO119" s="318">
        <f>AG119*AN$100</f>
        <v>0</v>
      </c>
      <c r="AQ119" s="172">
        <v>64.712470621181922</v>
      </c>
      <c r="AR119" s="294"/>
      <c r="AS119" s="294"/>
      <c r="AT119" s="294"/>
      <c r="AU119" s="170"/>
      <c r="AV119" s="241"/>
      <c r="AW119" s="239"/>
      <c r="AX119" s="235"/>
      <c r="AY119" s="358"/>
      <c r="AZ119" s="358"/>
      <c r="BA119" s="358"/>
      <c r="BB119" s="358"/>
      <c r="BC119" s="358"/>
      <c r="BD119" s="358"/>
      <c r="BE119" s="236"/>
      <c r="BF119" s="318"/>
      <c r="BH119" s="361"/>
      <c r="BI119" s="360"/>
      <c r="BJ119" s="360"/>
      <c r="BK119" s="360"/>
      <c r="BL119" s="359"/>
      <c r="BM119" s="240"/>
      <c r="BN119" s="239"/>
      <c r="BO119" s="235">
        <f>SUM(BH119:BL119)</f>
        <v>0</v>
      </c>
      <c r="BP119" s="358"/>
      <c r="BQ119" s="358"/>
      <c r="BR119" s="358"/>
      <c r="BS119" s="358"/>
      <c r="BT119" s="358"/>
      <c r="BU119" s="358"/>
      <c r="BV119" s="236"/>
      <c r="BW119" s="318" t="e">
        <f>BO119*BV$100</f>
        <v>#REF!</v>
      </c>
      <c r="BY119" s="361"/>
      <c r="BZ119" s="360"/>
      <c r="CA119" s="360"/>
      <c r="CB119" s="360"/>
      <c r="CC119" s="359"/>
      <c r="CD119" s="240"/>
      <c r="CE119" s="239"/>
      <c r="CF119" s="235">
        <f>SUM(BY119:CC119)</f>
        <v>0</v>
      </c>
      <c r="CG119" s="358"/>
      <c r="CH119" s="358"/>
      <c r="CI119" s="358"/>
      <c r="CJ119" s="358"/>
      <c r="CK119" s="358"/>
      <c r="CL119" s="358"/>
      <c r="CM119" s="236"/>
      <c r="CN119" s="318" t="e">
        <f>CF119*CM$100</f>
        <v>#REF!</v>
      </c>
      <c r="CP119" s="6"/>
      <c r="CQ119" s="234">
        <f>SUMIF(I$1:CO$1,1,I119:CO119)</f>
        <v>0</v>
      </c>
      <c r="CR119" s="6"/>
      <c r="CS119" s="233" t="e">
        <f>SUMIF(I$1:CO$1,2,I119:CO119)</f>
        <v>#REF!</v>
      </c>
      <c r="CU119" s="246"/>
      <c r="CW119" s="270"/>
      <c r="CX119" s="270"/>
    </row>
    <row r="120" spans="1:102" ht="15" customHeight="1" thickBot="1" x14ac:dyDescent="0.3">
      <c r="A120" s="232"/>
      <c r="B120" s="231"/>
      <c r="C120" s="229"/>
      <c r="D120" s="230" t="s">
        <v>148</v>
      </c>
      <c r="E120" s="229"/>
      <c r="F120" s="289"/>
      <c r="G120" s="289"/>
      <c r="I120" s="227"/>
      <c r="J120" s="226"/>
      <c r="K120" s="226"/>
      <c r="L120" s="226"/>
      <c r="M120" s="225"/>
      <c r="N120" s="224"/>
      <c r="O120" s="218"/>
      <c r="P120" s="217"/>
      <c r="Q120" s="219"/>
      <c r="R120" s="219"/>
      <c r="S120" s="219"/>
      <c r="T120" s="219"/>
      <c r="U120" s="219"/>
      <c r="V120" s="219"/>
      <c r="W120" s="218"/>
      <c r="X120" s="217">
        <f>SUM(X100:X119)</f>
        <v>0</v>
      </c>
      <c r="Z120" s="304"/>
      <c r="AA120" s="305"/>
      <c r="AB120" s="305"/>
      <c r="AC120" s="305"/>
      <c r="AD120" s="289"/>
      <c r="AE120" s="224"/>
      <c r="AF120" s="218"/>
      <c r="AG120" s="217"/>
      <c r="AH120" s="219"/>
      <c r="AI120" s="219"/>
      <c r="AJ120" s="219"/>
      <c r="AK120" s="219"/>
      <c r="AL120" s="219"/>
      <c r="AM120" s="219"/>
      <c r="AN120" s="218"/>
      <c r="AO120" s="217">
        <f>SUM(AO100:AO119)</f>
        <v>0</v>
      </c>
      <c r="AQ120" s="304"/>
      <c r="AR120" s="226"/>
      <c r="AS120" s="226"/>
      <c r="AT120" s="226"/>
      <c r="AU120" s="226"/>
      <c r="AV120" s="223"/>
      <c r="AW120" s="218"/>
      <c r="AX120" s="217"/>
      <c r="AY120" s="219"/>
      <c r="AZ120" s="219"/>
      <c r="BA120" s="219"/>
      <c r="BB120" s="219"/>
      <c r="BC120" s="219"/>
      <c r="BD120" s="219"/>
      <c r="BE120" s="218"/>
      <c r="BF120" s="217"/>
      <c r="BH120" s="222"/>
      <c r="BI120" s="221"/>
      <c r="BJ120" s="221"/>
      <c r="BK120" s="221"/>
      <c r="BL120" s="221"/>
      <c r="BM120" s="220"/>
      <c r="BN120" s="218"/>
      <c r="BO120" s="217">
        <f>SUM(BO100:BO119)</f>
        <v>0</v>
      </c>
      <c r="BP120" s="219"/>
      <c r="BQ120" s="219"/>
      <c r="BR120" s="219"/>
      <c r="BS120" s="219"/>
      <c r="BT120" s="219"/>
      <c r="BU120" s="219"/>
      <c r="BV120" s="218"/>
      <c r="BW120" s="217" t="e">
        <f>SUM(BW100:BW119)</f>
        <v>#REF!</v>
      </c>
      <c r="BY120" s="222"/>
      <c r="BZ120" s="221"/>
      <c r="CA120" s="221"/>
      <c r="CB120" s="221"/>
      <c r="CC120" s="221"/>
      <c r="CD120" s="220"/>
      <c r="CE120" s="218"/>
      <c r="CF120" s="217">
        <f>SUM(CF100:CF119)</f>
        <v>0</v>
      </c>
      <c r="CG120" s="219"/>
      <c r="CH120" s="219"/>
      <c r="CI120" s="219"/>
      <c r="CJ120" s="219"/>
      <c r="CK120" s="219"/>
      <c r="CL120" s="219"/>
      <c r="CM120" s="218"/>
      <c r="CN120" s="217" t="e">
        <f>SUM(CN100:CN119)</f>
        <v>#REF!</v>
      </c>
      <c r="CP120" s="6"/>
      <c r="CQ120" s="139">
        <f>SUM(CQ100:CQ119)</f>
        <v>0</v>
      </c>
      <c r="CR120" s="6"/>
      <c r="CS120" s="139" t="e">
        <f>SUM(CS100:CS119)</f>
        <v>#REF!</v>
      </c>
      <c r="CU120" s="139"/>
      <c r="CW120" s="270"/>
      <c r="CX120" s="270"/>
    </row>
    <row r="121" spans="1:102" ht="15" customHeight="1" x14ac:dyDescent="0.25">
      <c r="A121" s="312" t="s">
        <v>375</v>
      </c>
      <c r="B121" s="311" t="s">
        <v>374</v>
      </c>
      <c r="C121" s="285" t="s">
        <v>373</v>
      </c>
      <c r="D121" s="309" t="s">
        <v>372</v>
      </c>
      <c r="E121" s="72" t="s">
        <v>369</v>
      </c>
      <c r="F121" s="263">
        <f>((0.0025*(1.014*1.012*1.015)*1.1/1.12)*1.028)*(1.058)</f>
        <v>2.7814929484484994E-3</v>
      </c>
      <c r="G121" s="262">
        <f>F121*$G$1</f>
        <v>0</v>
      </c>
      <c r="I121" s="182"/>
      <c r="J121" s="181"/>
      <c r="K121" s="181">
        <v>145</v>
      </c>
      <c r="L121" s="181"/>
      <c r="M121" s="180">
        <v>390</v>
      </c>
      <c r="N121" s="284">
        <f>SUM(I121:M121)</f>
        <v>535</v>
      </c>
      <c r="O121" s="276">
        <v>1</v>
      </c>
      <c r="P121" s="272"/>
      <c r="Q121" s="275"/>
      <c r="R121" s="274"/>
      <c r="S121" s="274"/>
      <c r="T121" s="274"/>
      <c r="U121" s="274"/>
      <c r="V121" s="274"/>
      <c r="W121" s="273"/>
      <c r="X121" s="272">
        <f>P121*W$121</f>
        <v>0</v>
      </c>
      <c r="Z121" s="182"/>
      <c r="AA121" s="181">
        <v>151</v>
      </c>
      <c r="AB121" s="181">
        <f>174+196</f>
        <v>370</v>
      </c>
      <c r="AC121" s="181">
        <v>197</v>
      </c>
      <c r="AD121" s="180">
        <v>420</v>
      </c>
      <c r="AE121" s="284">
        <f>SUM(Z121:AD121)</f>
        <v>1138</v>
      </c>
      <c r="AF121" s="276">
        <v>1</v>
      </c>
      <c r="AG121" s="272"/>
      <c r="AH121" s="275"/>
      <c r="AI121" s="274"/>
      <c r="AJ121" s="274"/>
      <c r="AK121" s="274"/>
      <c r="AL121" s="274"/>
      <c r="AM121" s="274"/>
      <c r="AN121" s="273"/>
      <c r="AO121" s="272">
        <f>AG121*AN$121</f>
        <v>0</v>
      </c>
      <c r="AQ121" s="182">
        <f>215+214</f>
        <v>429</v>
      </c>
      <c r="AR121" s="301"/>
      <c r="AS121" s="181"/>
      <c r="AT121" s="181"/>
      <c r="AU121" s="282"/>
      <c r="AV121" s="281">
        <f>SUM(AQ121:AU121)</f>
        <v>429</v>
      </c>
      <c r="AW121" s="276">
        <v>1</v>
      </c>
      <c r="AX121" s="272"/>
      <c r="AY121" s="275"/>
      <c r="AZ121" s="274"/>
      <c r="BA121" s="274"/>
      <c r="BB121" s="274"/>
      <c r="BC121" s="274"/>
      <c r="BD121" s="274"/>
      <c r="BE121" s="273"/>
      <c r="BF121" s="272"/>
      <c r="BH121" s="179"/>
      <c r="BI121" s="278"/>
      <c r="BJ121" s="278"/>
      <c r="BK121" s="278"/>
      <c r="BL121" s="177"/>
      <c r="BM121" s="277">
        <f>SUM(BH121:BL121)</f>
        <v>0</v>
      </c>
      <c r="BN121" s="276">
        <v>1</v>
      </c>
      <c r="BO121" s="272">
        <f>$G121*BM121*BN121</f>
        <v>0</v>
      </c>
      <c r="BP121" s="275" t="e">
        <f>VLOOKUP(BP5,#REF!,8,FALSE)/100+1</f>
        <v>#REF!</v>
      </c>
      <c r="BQ121" s="274" t="e">
        <f>VLOOKUP(BQ5,#REF!,8,FALSE)/100+1</f>
        <v>#REF!</v>
      </c>
      <c r="BR121" s="274" t="e">
        <f>VLOOKUP(BR5,#REF!,8,FALSE)/100+1</f>
        <v>#REF!</v>
      </c>
      <c r="BS121" s="274" t="e">
        <f>VLOOKUP(BS5,#REF!,8,FALSE)/100+1</f>
        <v>#REF!</v>
      </c>
      <c r="BT121" s="274" t="e">
        <f>VLOOKUP(BT5,#REF!,8,FALSE)/100+1</f>
        <v>#REF!</v>
      </c>
      <c r="BU121" s="274" t="e">
        <f>VLOOKUP(BU5,#REF!,8,FALSE)/100+1</f>
        <v>#REF!</v>
      </c>
      <c r="BV121" s="273" t="e">
        <f>BP121*BQ121*BR121*BS121*BT121*BU121</f>
        <v>#REF!</v>
      </c>
      <c r="BW121" s="272" t="e">
        <f>BO121*BV$121</f>
        <v>#REF!</v>
      </c>
      <c r="BY121" s="280"/>
      <c r="BZ121" s="178"/>
      <c r="CA121" s="178"/>
      <c r="CB121" s="178"/>
      <c r="CC121" s="177"/>
      <c r="CD121" s="277">
        <f>SUM(BY121:CC121)</f>
        <v>0</v>
      </c>
      <c r="CE121" s="276">
        <v>1</v>
      </c>
      <c r="CF121" s="272">
        <f>$G121*CD121*CE121</f>
        <v>0</v>
      </c>
      <c r="CG121" s="275" t="e">
        <f>VLOOKUP(CG5,#REF!,8,FALSE)/100+1</f>
        <v>#REF!</v>
      </c>
      <c r="CH121" s="274" t="e">
        <f>VLOOKUP(CH5,#REF!,8,FALSE)/100+1</f>
        <v>#REF!</v>
      </c>
      <c r="CI121" s="274" t="e">
        <f>VLOOKUP(CI5,#REF!,8,FALSE)/100+1</f>
        <v>#REF!</v>
      </c>
      <c r="CJ121" s="274" t="e">
        <f>VLOOKUP(CJ5,#REF!,8,FALSE)/100+1</f>
        <v>#REF!</v>
      </c>
      <c r="CK121" s="274" t="e">
        <f>VLOOKUP(CK5,#REF!,8,FALSE)/100+1</f>
        <v>#REF!</v>
      </c>
      <c r="CL121" s="274" t="e">
        <f>VLOOKUP(CL5,#REF!,8,FALSE)/100+1</f>
        <v>#REF!</v>
      </c>
      <c r="CM121" s="273" t="e">
        <f>CG121*CH121*CI121*CJ121*CK121*CL121</f>
        <v>#REF!</v>
      </c>
      <c r="CN121" s="272" t="e">
        <f>CF121*CM$121</f>
        <v>#REF!</v>
      </c>
      <c r="CP121" s="198"/>
      <c r="CQ121" s="234">
        <f>SUMIF(I$1:CO$1,1,I121:CO121)</f>
        <v>0</v>
      </c>
      <c r="CR121" s="6"/>
      <c r="CS121" s="271" t="e">
        <f>SUMIF(I$1:CO$1,2,I121:CO121)</f>
        <v>#REF!</v>
      </c>
      <c r="CU121" s="271">
        <f>SUMIF(I$1:CO$1,3,I121:CO121)</f>
        <v>1567</v>
      </c>
      <c r="CW121" s="270"/>
      <c r="CX121" s="270"/>
    </row>
    <row r="122" spans="1:102" ht="15" customHeight="1" x14ac:dyDescent="0.25">
      <c r="A122" s="307"/>
      <c r="B122" s="73"/>
      <c r="C122" s="72" t="s">
        <v>371</v>
      </c>
      <c r="D122" s="309" t="s">
        <v>370</v>
      </c>
      <c r="E122" s="72" t="s">
        <v>369</v>
      </c>
      <c r="F122" s="263">
        <f>((0.02*(1.014*1.012*1.015)*1.1/1.12)*1.028)*(1.058)</f>
        <v>2.2251943587587995E-2</v>
      </c>
      <c r="G122" s="262">
        <f>F122*$G$1</f>
        <v>0</v>
      </c>
      <c r="I122" s="172"/>
      <c r="J122" s="171"/>
      <c r="K122" s="171">
        <v>220</v>
      </c>
      <c r="L122" s="171"/>
      <c r="M122" s="170">
        <v>220</v>
      </c>
      <c r="N122" s="243">
        <f>SUM(I122:M122)</f>
        <v>440</v>
      </c>
      <c r="O122" s="183">
        <v>1</v>
      </c>
      <c r="P122" s="235"/>
      <c r="Q122" s="249"/>
      <c r="R122" s="248"/>
      <c r="S122" s="248"/>
      <c r="T122" s="248"/>
      <c r="U122" s="248"/>
      <c r="V122" s="248"/>
      <c r="W122" s="247"/>
      <c r="X122" s="235">
        <f>P122*W$121</f>
        <v>0</v>
      </c>
      <c r="Z122" s="172"/>
      <c r="AA122" s="171">
        <v>220</v>
      </c>
      <c r="AB122" s="171">
        <v>220</v>
      </c>
      <c r="AC122" s="171">
        <f>220+220</f>
        <v>440</v>
      </c>
      <c r="AD122" s="170">
        <v>330</v>
      </c>
      <c r="AE122" s="243">
        <f>SUM(Z122:AD122)</f>
        <v>1210</v>
      </c>
      <c r="AF122" s="183">
        <v>1</v>
      </c>
      <c r="AG122" s="235"/>
      <c r="AH122" s="249"/>
      <c r="AI122" s="248"/>
      <c r="AJ122" s="248"/>
      <c r="AK122" s="248"/>
      <c r="AL122" s="248"/>
      <c r="AM122" s="248"/>
      <c r="AN122" s="247"/>
      <c r="AO122" s="235">
        <f>AG122*AN$121</f>
        <v>0</v>
      </c>
      <c r="AQ122" s="172">
        <v>220</v>
      </c>
      <c r="AR122" s="294"/>
      <c r="AS122" s="171"/>
      <c r="AT122" s="171"/>
      <c r="AU122" s="242"/>
      <c r="AV122" s="241">
        <f>SUM(AQ122:AU122)</f>
        <v>220</v>
      </c>
      <c r="AW122" s="183">
        <v>1</v>
      </c>
      <c r="AX122" s="235"/>
      <c r="AY122" s="249"/>
      <c r="AZ122" s="248"/>
      <c r="BA122" s="248"/>
      <c r="BB122" s="248"/>
      <c r="BC122" s="248"/>
      <c r="BD122" s="248"/>
      <c r="BE122" s="247"/>
      <c r="BF122" s="235"/>
      <c r="BH122" s="167"/>
      <c r="BI122" s="258"/>
      <c r="BJ122" s="258"/>
      <c r="BK122" s="258"/>
      <c r="BL122" s="165"/>
      <c r="BM122" s="240">
        <f>SUM(BH122:BL122)</f>
        <v>0</v>
      </c>
      <c r="BN122" s="183">
        <v>1</v>
      </c>
      <c r="BO122" s="235">
        <f>$G122*BM122*BN122</f>
        <v>0</v>
      </c>
      <c r="BP122" s="249"/>
      <c r="BQ122" s="248"/>
      <c r="BR122" s="248"/>
      <c r="BS122" s="248"/>
      <c r="BT122" s="248"/>
      <c r="BU122" s="248"/>
      <c r="BV122" s="247"/>
      <c r="BW122" s="235" t="e">
        <f>BO122*BV$121</f>
        <v>#REF!</v>
      </c>
      <c r="BY122" s="260"/>
      <c r="BZ122" s="166"/>
      <c r="CA122" s="166"/>
      <c r="CB122" s="166"/>
      <c r="CC122" s="165"/>
      <c r="CD122" s="240">
        <f>SUM(BY122:CC122)</f>
        <v>0</v>
      </c>
      <c r="CE122" s="183">
        <v>1</v>
      </c>
      <c r="CF122" s="235">
        <f>$G122*CD122*CE122</f>
        <v>0</v>
      </c>
      <c r="CG122" s="249"/>
      <c r="CH122" s="248"/>
      <c r="CI122" s="248"/>
      <c r="CJ122" s="248"/>
      <c r="CK122" s="248"/>
      <c r="CL122" s="248"/>
      <c r="CM122" s="247"/>
      <c r="CN122" s="235" t="e">
        <f>CF122*CM$121</f>
        <v>#REF!</v>
      </c>
      <c r="CP122" s="198"/>
      <c r="CQ122" s="234">
        <f>SUMIF(I$1:CO$1,1,I122:CO122)</f>
        <v>0</v>
      </c>
      <c r="CR122" s="6"/>
      <c r="CS122" s="233" t="e">
        <f>SUMIF(I$1:CO$1,2,I122:CO122)</f>
        <v>#REF!</v>
      </c>
      <c r="CU122" s="233">
        <f>SUMIF(I$1:CO$1,3,I122:CO122)</f>
        <v>1430</v>
      </c>
      <c r="CW122" s="270"/>
      <c r="CX122" s="270"/>
    </row>
    <row r="123" spans="1:102" ht="15" customHeight="1" x14ac:dyDescent="0.25">
      <c r="A123" s="307"/>
      <c r="B123" s="76" t="s">
        <v>368</v>
      </c>
      <c r="C123" s="72" t="s">
        <v>367</v>
      </c>
      <c r="D123" s="309" t="s">
        <v>366</v>
      </c>
      <c r="E123" s="72" t="s">
        <v>243</v>
      </c>
      <c r="F123" s="262">
        <f>((0.7*(1.014*1.012*1.015)*1.1/1.12)*1.028)*(1.058)</f>
        <v>0.77881802556557977</v>
      </c>
      <c r="G123" s="262">
        <f>F123*$G$1</f>
        <v>0</v>
      </c>
      <c r="I123" s="172"/>
      <c r="J123" s="171"/>
      <c r="K123" s="171">
        <v>6</v>
      </c>
      <c r="L123" s="171"/>
      <c r="M123" s="170">
        <v>4</v>
      </c>
      <c r="N123" s="243">
        <f>SUM(I123:M123)</f>
        <v>10</v>
      </c>
      <c r="O123" s="183">
        <v>1</v>
      </c>
      <c r="P123" s="235"/>
      <c r="Q123" s="249"/>
      <c r="R123" s="248"/>
      <c r="S123" s="248"/>
      <c r="T123" s="248"/>
      <c r="U123" s="248"/>
      <c r="V123" s="248"/>
      <c r="W123" s="247"/>
      <c r="X123" s="235">
        <f>P123*W$121</f>
        <v>0</v>
      </c>
      <c r="Z123" s="172"/>
      <c r="AA123" s="171">
        <v>8</v>
      </c>
      <c r="AB123" s="171"/>
      <c r="AC123" s="171">
        <v>6</v>
      </c>
      <c r="AD123" s="170">
        <v>3</v>
      </c>
      <c r="AE123" s="243">
        <f>SUM(Z123:AD123)</f>
        <v>17</v>
      </c>
      <c r="AF123" s="183">
        <v>1</v>
      </c>
      <c r="AG123" s="235"/>
      <c r="AH123" s="249"/>
      <c r="AI123" s="248"/>
      <c r="AJ123" s="248"/>
      <c r="AK123" s="248"/>
      <c r="AL123" s="248"/>
      <c r="AM123" s="248"/>
      <c r="AN123" s="247"/>
      <c r="AO123" s="235">
        <f>AG123*AN$121</f>
        <v>0</v>
      </c>
      <c r="AQ123" s="172">
        <v>2</v>
      </c>
      <c r="AR123" s="294"/>
      <c r="AS123" s="171"/>
      <c r="AT123" s="171"/>
      <c r="AU123" s="242"/>
      <c r="AV123" s="241">
        <f>SUM(AQ123:AU123)</f>
        <v>2</v>
      </c>
      <c r="AW123" s="183">
        <v>1</v>
      </c>
      <c r="AX123" s="235"/>
      <c r="AY123" s="249"/>
      <c r="AZ123" s="248"/>
      <c r="BA123" s="248"/>
      <c r="BB123" s="248"/>
      <c r="BC123" s="248"/>
      <c r="BD123" s="248"/>
      <c r="BE123" s="247"/>
      <c r="BF123" s="235"/>
      <c r="BH123" s="167"/>
      <c r="BI123" s="166"/>
      <c r="BJ123" s="166"/>
      <c r="BK123" s="166"/>
      <c r="BL123" s="165"/>
      <c r="BM123" s="240">
        <f>SUM(BH123:BL123)</f>
        <v>0</v>
      </c>
      <c r="BN123" s="183">
        <v>1</v>
      </c>
      <c r="BO123" s="235">
        <f>$G123*BM123*BN123</f>
        <v>0</v>
      </c>
      <c r="BP123" s="249"/>
      <c r="BQ123" s="248"/>
      <c r="BR123" s="248"/>
      <c r="BS123" s="248"/>
      <c r="BT123" s="248"/>
      <c r="BU123" s="248"/>
      <c r="BV123" s="247"/>
      <c r="BW123" s="235" t="e">
        <f>BO123*BV$121</f>
        <v>#REF!</v>
      </c>
      <c r="BY123" s="167"/>
      <c r="BZ123" s="166"/>
      <c r="CA123" s="166"/>
      <c r="CB123" s="166"/>
      <c r="CC123" s="165"/>
      <c r="CD123" s="240">
        <f>SUM(BY123:CC123)</f>
        <v>0</v>
      </c>
      <c r="CE123" s="183">
        <v>1</v>
      </c>
      <c r="CF123" s="235">
        <f>$G123*CD123*CE123</f>
        <v>0</v>
      </c>
      <c r="CG123" s="249"/>
      <c r="CH123" s="248"/>
      <c r="CI123" s="248"/>
      <c r="CJ123" s="248"/>
      <c r="CK123" s="248"/>
      <c r="CL123" s="248"/>
      <c r="CM123" s="247"/>
      <c r="CN123" s="235" t="e">
        <f>CF123*CM$121</f>
        <v>#REF!</v>
      </c>
      <c r="CP123" s="198"/>
      <c r="CQ123" s="234">
        <f>SUMIF(I$1:CO$1,1,I123:CO123)</f>
        <v>0</v>
      </c>
      <c r="CR123" s="6"/>
      <c r="CS123" s="233" t="e">
        <f>SUMIF(I$1:CO$1,2,I123:CO123)</f>
        <v>#REF!</v>
      </c>
      <c r="CU123" s="233">
        <f>SUMIF(I$1:CO$1,3,I123:CO123)</f>
        <v>19</v>
      </c>
      <c r="CW123" s="270"/>
      <c r="CX123" s="270"/>
    </row>
    <row r="124" spans="1:102" ht="15" customHeight="1" x14ac:dyDescent="0.25">
      <c r="A124" s="307"/>
      <c r="B124" s="73"/>
      <c r="C124" s="72" t="s">
        <v>365</v>
      </c>
      <c r="D124" s="309" t="s">
        <v>364</v>
      </c>
      <c r="E124" s="72" t="s">
        <v>243</v>
      </c>
      <c r="F124" s="262">
        <f>((0.185*(1.014*1.012*1.015)*1.1/1.12)*1.028)*(1.058)</f>
        <v>0.20583047818518896</v>
      </c>
      <c r="G124" s="262">
        <f>F124*$G$1</f>
        <v>0</v>
      </c>
      <c r="I124" s="172"/>
      <c r="J124" s="171"/>
      <c r="K124" s="171"/>
      <c r="L124" s="171"/>
      <c r="M124" s="170"/>
      <c r="N124" s="243">
        <f>SUM(I124:M124)</f>
        <v>0</v>
      </c>
      <c r="O124" s="183">
        <v>1</v>
      </c>
      <c r="P124" s="235"/>
      <c r="Q124" s="249"/>
      <c r="R124" s="248"/>
      <c r="S124" s="248"/>
      <c r="T124" s="248"/>
      <c r="U124" s="248"/>
      <c r="V124" s="248"/>
      <c r="W124" s="247"/>
      <c r="X124" s="235">
        <f>P124*W$121</f>
        <v>0</v>
      </c>
      <c r="Z124" s="172"/>
      <c r="AA124" s="171"/>
      <c r="AB124" s="171"/>
      <c r="AC124" s="171"/>
      <c r="AD124" s="170"/>
      <c r="AE124" s="243">
        <f>SUM(Z124:AD124)</f>
        <v>0</v>
      </c>
      <c r="AF124" s="183">
        <v>1</v>
      </c>
      <c r="AG124" s="235"/>
      <c r="AH124" s="249"/>
      <c r="AI124" s="248"/>
      <c r="AJ124" s="248"/>
      <c r="AK124" s="248"/>
      <c r="AL124" s="248"/>
      <c r="AM124" s="248"/>
      <c r="AN124" s="247"/>
      <c r="AO124" s="235">
        <f>AG124*AN$121</f>
        <v>0</v>
      </c>
      <c r="AQ124" s="172">
        <v>2</v>
      </c>
      <c r="AR124" s="294"/>
      <c r="AS124" s="171"/>
      <c r="AT124" s="171"/>
      <c r="AU124" s="242"/>
      <c r="AV124" s="241">
        <f>SUM(AQ124:AU124)</f>
        <v>2</v>
      </c>
      <c r="AW124" s="183">
        <v>1</v>
      </c>
      <c r="AX124" s="235"/>
      <c r="AY124" s="249"/>
      <c r="AZ124" s="248"/>
      <c r="BA124" s="248"/>
      <c r="BB124" s="248"/>
      <c r="BC124" s="248"/>
      <c r="BD124" s="248"/>
      <c r="BE124" s="247"/>
      <c r="BF124" s="235"/>
      <c r="BH124" s="167"/>
      <c r="BI124" s="166"/>
      <c r="BJ124" s="166"/>
      <c r="BK124" s="166"/>
      <c r="BL124" s="165"/>
      <c r="BM124" s="240">
        <f>SUM(BH124:BL124)</f>
        <v>0</v>
      </c>
      <c r="BN124" s="183">
        <v>1</v>
      </c>
      <c r="BO124" s="235">
        <f>$G124*BM124*BN124</f>
        <v>0</v>
      </c>
      <c r="BP124" s="249"/>
      <c r="BQ124" s="248"/>
      <c r="BR124" s="248"/>
      <c r="BS124" s="248"/>
      <c r="BT124" s="248"/>
      <c r="BU124" s="248"/>
      <c r="BV124" s="247"/>
      <c r="BW124" s="235" t="e">
        <f>BO124*BV$121</f>
        <v>#REF!</v>
      </c>
      <c r="BY124" s="167"/>
      <c r="BZ124" s="166"/>
      <c r="CA124" s="166"/>
      <c r="CB124" s="166"/>
      <c r="CC124" s="165"/>
      <c r="CD124" s="240">
        <f>SUM(BY124:CC124)</f>
        <v>0</v>
      </c>
      <c r="CE124" s="183">
        <v>1</v>
      </c>
      <c r="CF124" s="235">
        <f>$G124*CD124*CE124</f>
        <v>0</v>
      </c>
      <c r="CG124" s="249"/>
      <c r="CH124" s="248"/>
      <c r="CI124" s="248"/>
      <c r="CJ124" s="248"/>
      <c r="CK124" s="248"/>
      <c r="CL124" s="248"/>
      <c r="CM124" s="247"/>
      <c r="CN124" s="235" t="e">
        <f>CF124*CM$121</f>
        <v>#REF!</v>
      </c>
      <c r="CP124" s="198"/>
      <c r="CQ124" s="234">
        <f>SUMIF(I$1:CO$1,1,I124:CO124)</f>
        <v>0</v>
      </c>
      <c r="CR124" s="6"/>
      <c r="CS124" s="233" t="e">
        <f>SUMIF(I$1:CO$1,2,I124:CO124)</f>
        <v>#REF!</v>
      </c>
      <c r="CU124" s="233">
        <f>SUMIF(I$1:CO$1,3,I124:CO124)</f>
        <v>2</v>
      </c>
      <c r="CW124" s="270"/>
      <c r="CX124" s="270"/>
    </row>
    <row r="125" spans="1:102" ht="15" customHeight="1" x14ac:dyDescent="0.25">
      <c r="A125" s="307"/>
      <c r="B125" s="257" t="s">
        <v>178</v>
      </c>
      <c r="C125" s="72" t="s">
        <v>47</v>
      </c>
      <c r="D125" s="255" t="s">
        <v>175</v>
      </c>
      <c r="E125" s="254"/>
      <c r="F125" s="308"/>
      <c r="G125" s="308">
        <f>F125</f>
        <v>0</v>
      </c>
      <c r="I125" s="172"/>
      <c r="J125" s="171"/>
      <c r="K125" s="171"/>
      <c r="L125" s="171"/>
      <c r="M125" s="170"/>
      <c r="N125" s="243">
        <f>SUM(I125:M125)</f>
        <v>0</v>
      </c>
      <c r="O125" s="183">
        <v>1</v>
      </c>
      <c r="P125" s="235"/>
      <c r="Q125" s="249"/>
      <c r="R125" s="248"/>
      <c r="S125" s="248"/>
      <c r="T125" s="248"/>
      <c r="U125" s="248"/>
      <c r="V125" s="248"/>
      <c r="W125" s="247"/>
      <c r="X125" s="235">
        <f>P125*W$121</f>
        <v>0</v>
      </c>
      <c r="Z125" s="172"/>
      <c r="AA125" s="171"/>
      <c r="AB125" s="171"/>
      <c r="AC125" s="171"/>
      <c r="AD125" s="170"/>
      <c r="AE125" s="243">
        <f>SUM(Z125:AD125)</f>
        <v>0</v>
      </c>
      <c r="AF125" s="183">
        <v>1</v>
      </c>
      <c r="AG125" s="235"/>
      <c r="AH125" s="249"/>
      <c r="AI125" s="248"/>
      <c r="AJ125" s="248"/>
      <c r="AK125" s="248"/>
      <c r="AL125" s="248"/>
      <c r="AM125" s="248"/>
      <c r="AN125" s="247"/>
      <c r="AO125" s="235">
        <f>AG125*AN$121</f>
        <v>0</v>
      </c>
      <c r="AQ125" s="172"/>
      <c r="AR125" s="294"/>
      <c r="AS125" s="171"/>
      <c r="AT125" s="171"/>
      <c r="AU125" s="242"/>
      <c r="AV125" s="241">
        <f>SUM(AQ125:AU125)</f>
        <v>0</v>
      </c>
      <c r="AW125" s="183">
        <v>1</v>
      </c>
      <c r="AX125" s="235"/>
      <c r="AY125" s="249"/>
      <c r="AZ125" s="248"/>
      <c r="BA125" s="248"/>
      <c r="BB125" s="248"/>
      <c r="BC125" s="248"/>
      <c r="BD125" s="248"/>
      <c r="BE125" s="247"/>
      <c r="BF125" s="235"/>
      <c r="BH125" s="167"/>
      <c r="BI125" s="166"/>
      <c r="BJ125" s="166"/>
      <c r="BK125" s="166"/>
      <c r="BL125" s="165"/>
      <c r="BM125" s="240">
        <f>SUM(BH125:BL125)</f>
        <v>0</v>
      </c>
      <c r="BN125" s="183">
        <v>1</v>
      </c>
      <c r="BO125" s="235">
        <f>$G125*BM125*BN125</f>
        <v>0</v>
      </c>
      <c r="BP125" s="249"/>
      <c r="BQ125" s="248"/>
      <c r="BR125" s="248"/>
      <c r="BS125" s="248"/>
      <c r="BT125" s="248"/>
      <c r="BU125" s="248"/>
      <c r="BV125" s="247"/>
      <c r="BW125" s="235" t="e">
        <f>BO125*BV$121</f>
        <v>#REF!</v>
      </c>
      <c r="BY125" s="167"/>
      <c r="BZ125" s="166"/>
      <c r="CA125" s="166"/>
      <c r="CB125" s="166"/>
      <c r="CC125" s="165"/>
      <c r="CD125" s="240">
        <f>SUM(BY125:CC125)</f>
        <v>0</v>
      </c>
      <c r="CE125" s="183">
        <v>1</v>
      </c>
      <c r="CF125" s="235">
        <f>$G125*CD125*CE125</f>
        <v>0</v>
      </c>
      <c r="CG125" s="249"/>
      <c r="CH125" s="248"/>
      <c r="CI125" s="248"/>
      <c r="CJ125" s="248"/>
      <c r="CK125" s="248"/>
      <c r="CL125" s="248"/>
      <c r="CM125" s="247"/>
      <c r="CN125" s="235" t="e">
        <f>CF125*CM$121</f>
        <v>#REF!</v>
      </c>
      <c r="CP125" s="198"/>
      <c r="CQ125" s="234">
        <f>SUMIF(I$1:CO$1,1,I125:CO125)</f>
        <v>0</v>
      </c>
      <c r="CR125" s="6"/>
      <c r="CS125" s="233" t="e">
        <f>SUMIF(I$1:CO$1,2,I125:CO125)</f>
        <v>#REF!</v>
      </c>
      <c r="CU125" s="233">
        <f>SUMIF(I$1:CO$1,3,I125:CO125)</f>
        <v>0</v>
      </c>
      <c r="CW125" s="270"/>
      <c r="CX125" s="270"/>
    </row>
    <row r="126" spans="1:102" ht="15" customHeight="1" x14ac:dyDescent="0.25">
      <c r="A126" s="307"/>
      <c r="B126" s="244"/>
      <c r="C126" s="72" t="s">
        <v>46</v>
      </c>
      <c r="D126" s="255" t="s">
        <v>175</v>
      </c>
      <c r="E126" s="254"/>
      <c r="F126" s="308"/>
      <c r="G126" s="308">
        <f>F126</f>
        <v>0</v>
      </c>
      <c r="I126" s="172"/>
      <c r="J126" s="171"/>
      <c r="K126" s="171"/>
      <c r="L126" s="171"/>
      <c r="M126" s="170"/>
      <c r="N126" s="243">
        <f>SUM(I126:M126)</f>
        <v>0</v>
      </c>
      <c r="O126" s="183">
        <v>1</v>
      </c>
      <c r="P126" s="235"/>
      <c r="Q126" s="249"/>
      <c r="R126" s="248"/>
      <c r="S126" s="248"/>
      <c r="T126" s="248"/>
      <c r="U126" s="248"/>
      <c r="V126" s="248"/>
      <c r="W126" s="247"/>
      <c r="X126" s="235">
        <f>P126*W$121</f>
        <v>0</v>
      </c>
      <c r="Z126" s="172"/>
      <c r="AA126" s="171"/>
      <c r="AB126" s="171"/>
      <c r="AC126" s="171"/>
      <c r="AD126" s="170"/>
      <c r="AE126" s="243">
        <f>SUM(Z126:AD126)</f>
        <v>0</v>
      </c>
      <c r="AF126" s="183">
        <v>1</v>
      </c>
      <c r="AG126" s="235"/>
      <c r="AH126" s="249"/>
      <c r="AI126" s="248"/>
      <c r="AJ126" s="248"/>
      <c r="AK126" s="248"/>
      <c r="AL126" s="248"/>
      <c r="AM126" s="248"/>
      <c r="AN126" s="247"/>
      <c r="AO126" s="235">
        <f>AG126*AN$121</f>
        <v>0</v>
      </c>
      <c r="AQ126" s="172"/>
      <c r="AR126" s="294"/>
      <c r="AS126" s="171"/>
      <c r="AT126" s="171"/>
      <c r="AU126" s="242"/>
      <c r="AV126" s="241">
        <f>SUM(AQ126:AU126)</f>
        <v>0</v>
      </c>
      <c r="AW126" s="183">
        <v>1</v>
      </c>
      <c r="AX126" s="235"/>
      <c r="AY126" s="249"/>
      <c r="AZ126" s="248"/>
      <c r="BA126" s="248"/>
      <c r="BB126" s="248"/>
      <c r="BC126" s="248"/>
      <c r="BD126" s="248"/>
      <c r="BE126" s="247"/>
      <c r="BF126" s="235"/>
      <c r="BH126" s="167"/>
      <c r="BI126" s="166"/>
      <c r="BJ126" s="166"/>
      <c r="BK126" s="166"/>
      <c r="BL126" s="165"/>
      <c r="BM126" s="240">
        <f>SUM(BH126:BL126)</f>
        <v>0</v>
      </c>
      <c r="BN126" s="183">
        <v>1</v>
      </c>
      <c r="BO126" s="235">
        <f>$G126*BM126*BN126</f>
        <v>0</v>
      </c>
      <c r="BP126" s="249"/>
      <c r="BQ126" s="248"/>
      <c r="BR126" s="248"/>
      <c r="BS126" s="248"/>
      <c r="BT126" s="248"/>
      <c r="BU126" s="248"/>
      <c r="BV126" s="247"/>
      <c r="BW126" s="235" t="e">
        <f>BO126*BV$121</f>
        <v>#REF!</v>
      </c>
      <c r="BY126" s="167"/>
      <c r="BZ126" s="166"/>
      <c r="CA126" s="166"/>
      <c r="CB126" s="166"/>
      <c r="CC126" s="165"/>
      <c r="CD126" s="240">
        <f>SUM(BY126:CC126)</f>
        <v>0</v>
      </c>
      <c r="CE126" s="183">
        <v>1</v>
      </c>
      <c r="CF126" s="235">
        <f>$G126*CD126*CE126</f>
        <v>0</v>
      </c>
      <c r="CG126" s="249"/>
      <c r="CH126" s="248"/>
      <c r="CI126" s="248"/>
      <c r="CJ126" s="248"/>
      <c r="CK126" s="248"/>
      <c r="CL126" s="248"/>
      <c r="CM126" s="247"/>
      <c r="CN126" s="235" t="e">
        <f>CF126*CM$121</f>
        <v>#REF!</v>
      </c>
      <c r="CP126" s="198"/>
      <c r="CQ126" s="234">
        <f>SUMIF(I$1:CO$1,1,I126:CO126)</f>
        <v>0</v>
      </c>
      <c r="CR126" s="6"/>
      <c r="CS126" s="233" t="e">
        <f>SUMIF(I$1:CO$1,2,I126:CO126)</f>
        <v>#REF!</v>
      </c>
      <c r="CU126" s="233">
        <f>SUMIF(I$1:CO$1,3,I126:CO126)</f>
        <v>0</v>
      </c>
      <c r="CW126" s="270"/>
      <c r="CX126" s="270"/>
    </row>
    <row r="127" spans="1:102" ht="15" customHeight="1" x14ac:dyDescent="0.25">
      <c r="A127" s="307"/>
      <c r="B127" s="244"/>
      <c r="C127" s="72" t="s">
        <v>45</v>
      </c>
      <c r="D127" s="199" t="s">
        <v>363</v>
      </c>
      <c r="E127" s="174" t="s">
        <v>106</v>
      </c>
      <c r="F127" s="292"/>
      <c r="G127" s="292">
        <f>F127</f>
        <v>0</v>
      </c>
      <c r="I127" s="172"/>
      <c r="J127" s="171"/>
      <c r="K127" s="171"/>
      <c r="L127" s="171"/>
      <c r="M127" s="170">
        <v>2.213029137737681</v>
      </c>
      <c r="N127" s="243"/>
      <c r="O127" s="239"/>
      <c r="P127" s="235"/>
      <c r="Q127" s="249"/>
      <c r="R127" s="248"/>
      <c r="S127" s="248"/>
      <c r="T127" s="248"/>
      <c r="U127" s="248"/>
      <c r="V127" s="248"/>
      <c r="W127" s="247"/>
      <c r="X127" s="235">
        <f>P127*W$121</f>
        <v>0</v>
      </c>
      <c r="Z127" s="172"/>
      <c r="AA127" s="171">
        <v>3.5539732654753626</v>
      </c>
      <c r="AB127" s="171"/>
      <c r="AC127" s="171">
        <v>1.1687630266065208</v>
      </c>
      <c r="AD127" s="170">
        <v>0.53912066330326081</v>
      </c>
      <c r="AE127" s="243"/>
      <c r="AF127" s="239"/>
      <c r="AG127" s="235"/>
      <c r="AH127" s="249"/>
      <c r="AI127" s="248"/>
      <c r="AJ127" s="248"/>
      <c r="AK127" s="248"/>
      <c r="AL127" s="248"/>
      <c r="AM127" s="248"/>
      <c r="AN127" s="247"/>
      <c r="AO127" s="235">
        <f>AG127*AN$121</f>
        <v>0</v>
      </c>
      <c r="AQ127" s="172">
        <v>1.0419397324984627</v>
      </c>
      <c r="AR127" s="294"/>
      <c r="AS127" s="171"/>
      <c r="AT127" s="171"/>
      <c r="AU127" s="242"/>
      <c r="AV127" s="241"/>
      <c r="AW127" s="239"/>
      <c r="AX127" s="235"/>
      <c r="AY127" s="249"/>
      <c r="AZ127" s="248"/>
      <c r="BA127" s="248"/>
      <c r="BB127" s="248"/>
      <c r="BC127" s="248"/>
      <c r="BD127" s="248"/>
      <c r="BE127" s="247"/>
      <c r="BF127" s="235"/>
      <c r="BH127" s="167"/>
      <c r="BI127" s="166"/>
      <c r="BJ127" s="166"/>
      <c r="BK127" s="166"/>
      <c r="BL127" s="165"/>
      <c r="BM127" s="240"/>
      <c r="BN127" s="239"/>
      <c r="BO127" s="235">
        <f>SUM(BH127:BL127)</f>
        <v>0</v>
      </c>
      <c r="BP127" s="249"/>
      <c r="BQ127" s="248"/>
      <c r="BR127" s="248"/>
      <c r="BS127" s="248"/>
      <c r="BT127" s="248"/>
      <c r="BU127" s="248"/>
      <c r="BV127" s="247"/>
      <c r="BW127" s="235" t="e">
        <f>BO127*BV$121</f>
        <v>#REF!</v>
      </c>
      <c r="BY127" s="167"/>
      <c r="BZ127" s="166"/>
      <c r="CA127" s="166"/>
      <c r="CB127" s="166"/>
      <c r="CC127" s="165"/>
      <c r="CD127" s="240"/>
      <c r="CE127" s="239"/>
      <c r="CF127" s="235">
        <f>SUM(BY127:CC127)</f>
        <v>0</v>
      </c>
      <c r="CG127" s="249"/>
      <c r="CH127" s="248"/>
      <c r="CI127" s="248"/>
      <c r="CJ127" s="248"/>
      <c r="CK127" s="248"/>
      <c r="CL127" s="248"/>
      <c r="CM127" s="247"/>
      <c r="CN127" s="235" t="e">
        <f>CF127*CM$121</f>
        <v>#REF!</v>
      </c>
      <c r="CP127" s="198"/>
      <c r="CQ127" s="234">
        <f>SUMIF(I$1:CO$1,1,I127:CO127)</f>
        <v>0</v>
      </c>
      <c r="CR127" s="6"/>
      <c r="CS127" s="233" t="e">
        <f>SUMIF(I$1:CO$1,2,I127:CO127)</f>
        <v>#REF!</v>
      </c>
      <c r="CU127" s="246"/>
      <c r="CW127" s="270"/>
      <c r="CX127" s="270"/>
    </row>
    <row r="128" spans="1:102" ht="15" customHeight="1" x14ac:dyDescent="0.25">
      <c r="A128" s="307"/>
      <c r="B128" s="244"/>
      <c r="C128" s="72" t="s">
        <v>44</v>
      </c>
      <c r="D128" s="199" t="s">
        <v>362</v>
      </c>
      <c r="E128" s="174" t="s">
        <v>106</v>
      </c>
      <c r="F128" s="292"/>
      <c r="G128" s="292">
        <f>F128*$G$1</f>
        <v>0</v>
      </c>
      <c r="I128" s="172">
        <v>1.4308959400000001</v>
      </c>
      <c r="J128" s="171"/>
      <c r="K128" s="171"/>
      <c r="L128" s="171"/>
      <c r="M128" s="170"/>
      <c r="N128" s="243"/>
      <c r="O128" s="239"/>
      <c r="P128" s="235"/>
      <c r="Q128" s="238"/>
      <c r="R128" s="237"/>
      <c r="S128" s="237"/>
      <c r="T128" s="237"/>
      <c r="U128" s="237"/>
      <c r="V128" s="237"/>
      <c r="W128" s="236"/>
      <c r="X128" s="235">
        <f>P128*W$121</f>
        <v>0</v>
      </c>
      <c r="Z128" s="172"/>
      <c r="AA128" s="171"/>
      <c r="AB128" s="171"/>
      <c r="AC128" s="171"/>
      <c r="AD128" s="170"/>
      <c r="AE128" s="243"/>
      <c r="AF128" s="239"/>
      <c r="AG128" s="235"/>
      <c r="AH128" s="238"/>
      <c r="AI128" s="237"/>
      <c r="AJ128" s="237"/>
      <c r="AK128" s="237"/>
      <c r="AL128" s="237"/>
      <c r="AM128" s="237"/>
      <c r="AN128" s="236"/>
      <c r="AO128" s="235">
        <f>AG128*AN$121</f>
        <v>0</v>
      </c>
      <c r="AQ128" s="172"/>
      <c r="AR128" s="294"/>
      <c r="AS128" s="171"/>
      <c r="AT128" s="171"/>
      <c r="AU128" s="242"/>
      <c r="AV128" s="241"/>
      <c r="AW128" s="239"/>
      <c r="AX128" s="235"/>
      <c r="AY128" s="238"/>
      <c r="AZ128" s="237"/>
      <c r="BA128" s="237"/>
      <c r="BB128" s="237"/>
      <c r="BC128" s="237"/>
      <c r="BD128" s="237"/>
      <c r="BE128" s="236"/>
      <c r="BF128" s="235"/>
      <c r="BH128" s="167"/>
      <c r="BI128" s="166"/>
      <c r="BJ128" s="166"/>
      <c r="BK128" s="166"/>
      <c r="BL128" s="165"/>
      <c r="BM128" s="240"/>
      <c r="BN128" s="239"/>
      <c r="BO128" s="235">
        <f>SUM(BH128:BL128)</f>
        <v>0</v>
      </c>
      <c r="BP128" s="238"/>
      <c r="BQ128" s="237"/>
      <c r="BR128" s="237"/>
      <c r="BS128" s="237"/>
      <c r="BT128" s="237"/>
      <c r="BU128" s="237"/>
      <c r="BV128" s="236"/>
      <c r="BW128" s="235" t="e">
        <f>BO128*BV$121</f>
        <v>#REF!</v>
      </c>
      <c r="BY128" s="167"/>
      <c r="BZ128" s="166"/>
      <c r="CA128" s="166"/>
      <c r="CB128" s="166"/>
      <c r="CC128" s="165"/>
      <c r="CD128" s="240"/>
      <c r="CE128" s="239"/>
      <c r="CF128" s="235">
        <f>SUM(BY128:CC128)</f>
        <v>0</v>
      </c>
      <c r="CG128" s="238"/>
      <c r="CH128" s="237"/>
      <c r="CI128" s="237"/>
      <c r="CJ128" s="237"/>
      <c r="CK128" s="237"/>
      <c r="CL128" s="237"/>
      <c r="CM128" s="236"/>
      <c r="CN128" s="235" t="e">
        <f>CF128*CM$121</f>
        <v>#REF!</v>
      </c>
      <c r="CP128" s="6"/>
      <c r="CQ128" s="234">
        <f>SUMIF(I$1:CO$1,1,I128:CO128)</f>
        <v>0</v>
      </c>
      <c r="CR128" s="6"/>
      <c r="CS128" s="233" t="e">
        <f>SUMIF(I$1:CO$1,2,I128:CO128)</f>
        <v>#REF!</v>
      </c>
      <c r="CU128" s="246"/>
      <c r="CW128" s="270"/>
      <c r="CX128" s="270"/>
    </row>
    <row r="129" spans="1:102" ht="15" customHeight="1" thickBot="1" x14ac:dyDescent="0.3">
      <c r="A129" s="306"/>
      <c r="B129" s="231"/>
      <c r="C129" s="229"/>
      <c r="D129" s="230" t="s">
        <v>148</v>
      </c>
      <c r="E129" s="229"/>
      <c r="F129" s="289"/>
      <c r="G129" s="289"/>
      <c r="I129" s="227"/>
      <c r="J129" s="226"/>
      <c r="K129" s="226"/>
      <c r="L129" s="226"/>
      <c r="M129" s="225"/>
      <c r="N129" s="224"/>
      <c r="O129" s="218"/>
      <c r="P129" s="217"/>
      <c r="Q129" s="219"/>
      <c r="R129" s="219"/>
      <c r="S129" s="219"/>
      <c r="T129" s="219"/>
      <c r="U129" s="219"/>
      <c r="V129" s="219"/>
      <c r="W129" s="218"/>
      <c r="X129" s="217">
        <f>SUM(X121:X128)</f>
        <v>0</v>
      </c>
      <c r="Z129" s="304"/>
      <c r="AA129" s="305"/>
      <c r="AB129" s="305"/>
      <c r="AC129" s="305"/>
      <c r="AD129" s="289"/>
      <c r="AE129" s="224"/>
      <c r="AF129" s="218"/>
      <c r="AG129" s="217"/>
      <c r="AH129" s="219"/>
      <c r="AI129" s="219"/>
      <c r="AJ129" s="219"/>
      <c r="AK129" s="219"/>
      <c r="AL129" s="219"/>
      <c r="AM129" s="219"/>
      <c r="AN129" s="218"/>
      <c r="AO129" s="217">
        <f>SUM(AO121:AO128)</f>
        <v>0</v>
      </c>
      <c r="AQ129" s="304"/>
      <c r="AR129" s="226"/>
      <c r="AS129" s="226"/>
      <c r="AT129" s="226"/>
      <c r="AU129" s="226"/>
      <c r="AV129" s="223"/>
      <c r="AW129" s="218"/>
      <c r="AX129" s="217"/>
      <c r="AY129" s="219"/>
      <c r="AZ129" s="219"/>
      <c r="BA129" s="219"/>
      <c r="BB129" s="219"/>
      <c r="BC129" s="219"/>
      <c r="BD129" s="219"/>
      <c r="BE129" s="218"/>
      <c r="BF129" s="217"/>
      <c r="BH129" s="222"/>
      <c r="BI129" s="221"/>
      <c r="BJ129" s="221"/>
      <c r="BK129" s="221"/>
      <c r="BL129" s="221"/>
      <c r="BM129" s="220"/>
      <c r="BN129" s="218"/>
      <c r="BO129" s="217">
        <f>SUM(BO121:BO128)</f>
        <v>0</v>
      </c>
      <c r="BP129" s="219"/>
      <c r="BQ129" s="219"/>
      <c r="BR129" s="219"/>
      <c r="BS129" s="219"/>
      <c r="BT129" s="219"/>
      <c r="BU129" s="219"/>
      <c r="BV129" s="218"/>
      <c r="BW129" s="217" t="e">
        <f>SUM(BW121:BW128)</f>
        <v>#REF!</v>
      </c>
      <c r="BY129" s="222"/>
      <c r="BZ129" s="221"/>
      <c r="CA129" s="221"/>
      <c r="CB129" s="221"/>
      <c r="CC129" s="221"/>
      <c r="CD129" s="220"/>
      <c r="CE129" s="218"/>
      <c r="CF129" s="217">
        <f>SUM(CF121:CF128)</f>
        <v>0</v>
      </c>
      <c r="CG129" s="219"/>
      <c r="CH129" s="219"/>
      <c r="CI129" s="219"/>
      <c r="CJ129" s="219"/>
      <c r="CK129" s="219"/>
      <c r="CL129" s="219"/>
      <c r="CM129" s="218"/>
      <c r="CN129" s="217" t="e">
        <f>SUM(CN121:CN128)</f>
        <v>#REF!</v>
      </c>
      <c r="CP129" s="6"/>
      <c r="CQ129" s="139">
        <f>SUM(CQ121:CQ128)</f>
        <v>0</v>
      </c>
      <c r="CR129" s="6"/>
      <c r="CS129" s="139" t="e">
        <f>SUM(CS121:CS128)</f>
        <v>#REF!</v>
      </c>
      <c r="CU129" s="139"/>
      <c r="CW129" s="270"/>
      <c r="CX129" s="270"/>
    </row>
    <row r="130" spans="1:102" ht="15" customHeight="1" x14ac:dyDescent="0.25">
      <c r="A130" s="312" t="s">
        <v>361</v>
      </c>
      <c r="B130" s="336" t="s">
        <v>360</v>
      </c>
      <c r="C130" s="285" t="s">
        <v>359</v>
      </c>
      <c r="D130" s="286" t="s">
        <v>358</v>
      </c>
      <c r="E130" s="285" t="s">
        <v>232</v>
      </c>
      <c r="F130" s="316">
        <f>((0.075*(1.014*1.012*1.015)*1.1/1.17)*1.028)*(1.058)</f>
        <v>7.9878771852880004E-2</v>
      </c>
      <c r="G130" s="262">
        <f>F130*$G$1</f>
        <v>0</v>
      </c>
      <c r="I130" s="182"/>
      <c r="J130" s="301"/>
      <c r="K130" s="301">
        <v>2171.4517770686803</v>
      </c>
      <c r="L130" s="301">
        <v>200.52154068543678</v>
      </c>
      <c r="M130" s="357"/>
      <c r="N130" s="284">
        <f>SUM(I130:M130)</f>
        <v>2371.973317754117</v>
      </c>
      <c r="O130" s="276">
        <v>1</v>
      </c>
      <c r="P130" s="272"/>
      <c r="Q130" s="275"/>
      <c r="R130" s="274"/>
      <c r="S130" s="274"/>
      <c r="T130" s="274"/>
      <c r="U130" s="274"/>
      <c r="V130" s="274"/>
      <c r="W130" s="273"/>
      <c r="X130" s="272">
        <f>P130*W$130</f>
        <v>0</v>
      </c>
      <c r="Z130" s="182"/>
      <c r="AA130" s="181"/>
      <c r="AB130" s="171"/>
      <c r="AC130" s="181"/>
      <c r="AD130" s="180"/>
      <c r="AE130" s="284">
        <f>SUM(Z130:AD130)</f>
        <v>0</v>
      </c>
      <c r="AF130" s="276">
        <v>1</v>
      </c>
      <c r="AG130" s="272"/>
      <c r="AH130" s="275"/>
      <c r="AI130" s="274"/>
      <c r="AJ130" s="274"/>
      <c r="AK130" s="274"/>
      <c r="AL130" s="274"/>
      <c r="AM130" s="274"/>
      <c r="AN130" s="273"/>
      <c r="AO130" s="272">
        <f>AG130*AN$130</f>
        <v>0</v>
      </c>
      <c r="AQ130" s="182">
        <v>837.10433960044838</v>
      </c>
      <c r="AR130" s="301"/>
      <c r="AS130" s="301"/>
      <c r="AT130" s="301"/>
      <c r="AU130" s="282"/>
      <c r="AV130" s="281">
        <f>SUM(AQ130:AU130)</f>
        <v>837.10433960044838</v>
      </c>
      <c r="AW130" s="276">
        <v>1</v>
      </c>
      <c r="AX130" s="272"/>
      <c r="AY130" s="275"/>
      <c r="AZ130" s="274"/>
      <c r="BA130" s="274"/>
      <c r="BB130" s="274"/>
      <c r="BC130" s="274"/>
      <c r="BD130" s="274"/>
      <c r="BE130" s="273"/>
      <c r="BF130" s="272"/>
      <c r="BH130" s="356"/>
      <c r="BI130" s="355"/>
      <c r="BJ130" s="355"/>
      <c r="BK130" s="355"/>
      <c r="BL130" s="354"/>
      <c r="BM130" s="277">
        <f>SUM(BH130:BL130)</f>
        <v>0</v>
      </c>
      <c r="BN130" s="276">
        <v>1</v>
      </c>
      <c r="BO130" s="272">
        <f>$G130*BM130*BN130</f>
        <v>0</v>
      </c>
      <c r="BP130" s="275" t="e">
        <f>VLOOKUP(BP5,#REF!,9,FALSE)/100+1</f>
        <v>#REF!</v>
      </c>
      <c r="BQ130" s="274" t="e">
        <f>VLOOKUP(BQ5,#REF!,9,FALSE)/100+1</f>
        <v>#REF!</v>
      </c>
      <c r="BR130" s="274" t="e">
        <f>VLOOKUP(BR5,#REF!,9,FALSE)/100+1</f>
        <v>#REF!</v>
      </c>
      <c r="BS130" s="274" t="e">
        <f>VLOOKUP(BS5,#REF!,9,FALSE)/100+1</f>
        <v>#REF!</v>
      </c>
      <c r="BT130" s="274" t="e">
        <f>VLOOKUP(BT5,#REF!,9,FALSE)/100+1</f>
        <v>#REF!</v>
      </c>
      <c r="BU130" s="274" t="e">
        <f>VLOOKUP(BU5,#REF!,9,FALSE)/100+1</f>
        <v>#REF!</v>
      </c>
      <c r="BV130" s="273" t="e">
        <f>BP130*BQ130*BR130*BS130*BT130*BU130</f>
        <v>#REF!</v>
      </c>
      <c r="BW130" s="272" t="e">
        <f>BO130*BV$130</f>
        <v>#REF!</v>
      </c>
      <c r="BY130" s="356"/>
      <c r="BZ130" s="355"/>
      <c r="CA130" s="355"/>
      <c r="CB130" s="355"/>
      <c r="CC130" s="354"/>
      <c r="CD130" s="277">
        <f>SUM(BY130:CC130)</f>
        <v>0</v>
      </c>
      <c r="CE130" s="276">
        <v>1</v>
      </c>
      <c r="CF130" s="272">
        <f>$G130*CD130*CE130</f>
        <v>0</v>
      </c>
      <c r="CG130" s="275" t="e">
        <f>VLOOKUP(CG5,#REF!,9,FALSE)/100+1</f>
        <v>#REF!</v>
      </c>
      <c r="CH130" s="274" t="e">
        <f>VLOOKUP(CH5,#REF!,9,FALSE)/100+1</f>
        <v>#REF!</v>
      </c>
      <c r="CI130" s="274" t="e">
        <f>VLOOKUP(CI5,#REF!,9,FALSE)/100+1</f>
        <v>#REF!</v>
      </c>
      <c r="CJ130" s="274" t="e">
        <f>VLOOKUP(CJ5,#REF!,9,FALSE)/100+1</f>
        <v>#REF!</v>
      </c>
      <c r="CK130" s="274" t="e">
        <f>VLOOKUP(CK5,#REF!,9,FALSE)/100+1</f>
        <v>#REF!</v>
      </c>
      <c r="CL130" s="274" t="e">
        <f>VLOOKUP(CL5,#REF!,9,FALSE)/100+1</f>
        <v>#REF!</v>
      </c>
      <c r="CM130" s="273" t="e">
        <f>CG130*CH130*CI130*CJ130*CK130*CL130</f>
        <v>#REF!</v>
      </c>
      <c r="CN130" s="272" t="e">
        <f>CF130*CM$130</f>
        <v>#REF!</v>
      </c>
      <c r="CP130" s="6"/>
      <c r="CQ130" s="271">
        <f>SUMIF(I$1:CO$1,1,I130:CO130)</f>
        <v>0</v>
      </c>
      <c r="CR130" s="6"/>
      <c r="CS130" s="271" t="e">
        <f>SUMIF(I$1:CO$1,2,I130:CO130)</f>
        <v>#REF!</v>
      </c>
      <c r="CU130" s="271">
        <f>SUMIF(I$1:CO$1,3,I130:CO130)</f>
        <v>837.10433960044838</v>
      </c>
      <c r="CW130" s="270"/>
      <c r="CX130" s="270"/>
    </row>
    <row r="131" spans="1:102" s="195" customFormat="1" ht="15" customHeight="1" x14ac:dyDescent="0.25">
      <c r="A131" s="307"/>
      <c r="B131" s="326"/>
      <c r="C131" s="72" t="s">
        <v>357</v>
      </c>
      <c r="D131" s="353" t="s">
        <v>356</v>
      </c>
      <c r="E131" s="293" t="s">
        <v>232</v>
      </c>
      <c r="F131" s="263">
        <f>((0.095*(1.014*1.012*1.015)*1.1/1.17)*1.028)*(1.058)</f>
        <v>0.10117977768031466</v>
      </c>
      <c r="G131" s="262">
        <f>F131*$G$1</f>
        <v>0</v>
      </c>
      <c r="H131" s="1"/>
      <c r="I131" s="172"/>
      <c r="J131" s="294"/>
      <c r="K131" s="294"/>
      <c r="L131" s="294"/>
      <c r="M131" s="322"/>
      <c r="N131" s="321">
        <f>SUM(I131:M131)</f>
        <v>0</v>
      </c>
      <c r="O131" s="183">
        <v>1</v>
      </c>
      <c r="P131" s="318"/>
      <c r="Q131" s="249"/>
      <c r="R131" s="248"/>
      <c r="S131" s="248"/>
      <c r="T131" s="248"/>
      <c r="U131" s="248"/>
      <c r="V131" s="248"/>
      <c r="W131" s="247"/>
      <c r="X131" s="235">
        <f>P131*W$130</f>
        <v>0</v>
      </c>
      <c r="Y131" s="1"/>
      <c r="Z131" s="172"/>
      <c r="AA131" s="171"/>
      <c r="AB131" s="171"/>
      <c r="AC131" s="171"/>
      <c r="AD131" s="170"/>
      <c r="AE131" s="321">
        <f>SUM(Z131:AD131)</f>
        <v>0</v>
      </c>
      <c r="AF131" s="183">
        <v>1</v>
      </c>
      <c r="AG131" s="318"/>
      <c r="AH131" s="249"/>
      <c r="AI131" s="248"/>
      <c r="AJ131" s="248"/>
      <c r="AK131" s="248"/>
      <c r="AL131" s="248"/>
      <c r="AM131" s="248"/>
      <c r="AN131" s="247"/>
      <c r="AO131" s="235">
        <f>AG131*AN$130</f>
        <v>0</v>
      </c>
      <c r="AP131" s="1"/>
      <c r="AQ131" s="172"/>
      <c r="AR131" s="294"/>
      <c r="AS131" s="294"/>
      <c r="AT131" s="294"/>
      <c r="AU131" s="242"/>
      <c r="AV131" s="317">
        <f>SUM(AQ131:AU131)</f>
        <v>0</v>
      </c>
      <c r="AW131" s="183">
        <v>1</v>
      </c>
      <c r="AX131" s="318"/>
      <c r="AY131" s="249"/>
      <c r="AZ131" s="248"/>
      <c r="BA131" s="248"/>
      <c r="BB131" s="248"/>
      <c r="BC131" s="248"/>
      <c r="BD131" s="248"/>
      <c r="BE131" s="247"/>
      <c r="BF131" s="235"/>
      <c r="BG131" s="1"/>
      <c r="BH131" s="341"/>
      <c r="BI131" s="351"/>
      <c r="BJ131" s="351"/>
      <c r="BK131" s="351"/>
      <c r="BL131" s="350"/>
      <c r="BM131" s="319">
        <f>SUM(BH131:BL131)</f>
        <v>0</v>
      </c>
      <c r="BN131" s="183">
        <v>1</v>
      </c>
      <c r="BO131" s="318">
        <f>$G131*BM131*BN131</f>
        <v>0</v>
      </c>
      <c r="BP131" s="249"/>
      <c r="BQ131" s="248"/>
      <c r="BR131" s="248"/>
      <c r="BS131" s="248"/>
      <c r="BT131" s="248"/>
      <c r="BU131" s="248"/>
      <c r="BV131" s="247"/>
      <c r="BW131" s="235" t="e">
        <f>BO131*BV$130</f>
        <v>#REF!</v>
      </c>
      <c r="BX131" s="1"/>
      <c r="BY131" s="341"/>
      <c r="BZ131" s="351"/>
      <c r="CA131" s="351"/>
      <c r="CB131" s="351"/>
      <c r="CC131" s="350"/>
      <c r="CD131" s="319">
        <f>SUM(BY131:CC131)</f>
        <v>0</v>
      </c>
      <c r="CE131" s="183">
        <v>1</v>
      </c>
      <c r="CF131" s="318">
        <f>$G131*CD131*CE131</f>
        <v>0</v>
      </c>
      <c r="CG131" s="249"/>
      <c r="CH131" s="248"/>
      <c r="CI131" s="248"/>
      <c r="CJ131" s="248"/>
      <c r="CK131" s="248"/>
      <c r="CL131" s="248"/>
      <c r="CM131" s="247"/>
      <c r="CN131" s="235" t="e">
        <f>CF131*CM$130</f>
        <v>#REF!</v>
      </c>
      <c r="CO131" s="1"/>
      <c r="CP131" s="198"/>
      <c r="CQ131" s="234">
        <f>SUMIF(I$1:CO$1,1,I131:CO131)</f>
        <v>0</v>
      </c>
      <c r="CR131" s="198"/>
      <c r="CS131" s="233" t="e">
        <f>SUMIF(I$1:CO$1,2,I131:CO131)</f>
        <v>#REF!</v>
      </c>
      <c r="CU131" s="233">
        <f>SUMIF(I$1:CO$1,3,I131:CO131)</f>
        <v>0</v>
      </c>
      <c r="CW131" s="270"/>
      <c r="CX131" s="270"/>
    </row>
    <row r="132" spans="1:102" ht="15" customHeight="1" x14ac:dyDescent="0.25">
      <c r="A132" s="307"/>
      <c r="B132" s="326"/>
      <c r="C132" s="72" t="s">
        <v>355</v>
      </c>
      <c r="D132" s="353" t="s">
        <v>354</v>
      </c>
      <c r="E132" s="293" t="s">
        <v>232</v>
      </c>
      <c r="F132" s="263">
        <f>((0.06*(1.014*1.012*1.015)*1.1/1.17)*1.028)*(1.058)</f>
        <v>6.3903017482303995E-2</v>
      </c>
      <c r="G132" s="262">
        <f>F132*$G$1</f>
        <v>0</v>
      </c>
      <c r="I132" s="172"/>
      <c r="J132" s="294"/>
      <c r="K132" s="294"/>
      <c r="L132" s="294"/>
      <c r="M132" s="322"/>
      <c r="N132" s="321">
        <f>SUM(I132:M132)</f>
        <v>0</v>
      </c>
      <c r="O132" s="183">
        <v>1</v>
      </c>
      <c r="P132" s="318"/>
      <c r="Q132" s="249"/>
      <c r="R132" s="248"/>
      <c r="S132" s="248"/>
      <c r="T132" s="248"/>
      <c r="U132" s="248"/>
      <c r="V132" s="248"/>
      <c r="W132" s="247"/>
      <c r="X132" s="235">
        <f>P132*W$130</f>
        <v>0</v>
      </c>
      <c r="Z132" s="172"/>
      <c r="AA132" s="171"/>
      <c r="AB132" s="171"/>
      <c r="AC132" s="171"/>
      <c r="AD132" s="170"/>
      <c r="AE132" s="321">
        <f>SUM(Z132:AD132)</f>
        <v>0</v>
      </c>
      <c r="AF132" s="183">
        <v>1</v>
      </c>
      <c r="AG132" s="318"/>
      <c r="AH132" s="249"/>
      <c r="AI132" s="248"/>
      <c r="AJ132" s="248"/>
      <c r="AK132" s="248"/>
      <c r="AL132" s="248"/>
      <c r="AM132" s="248"/>
      <c r="AN132" s="247"/>
      <c r="AO132" s="235">
        <f>AG132*AN$130</f>
        <v>0</v>
      </c>
      <c r="AQ132" s="172"/>
      <c r="AR132" s="294"/>
      <c r="AS132" s="294"/>
      <c r="AT132" s="294"/>
      <c r="AU132" s="242"/>
      <c r="AV132" s="317">
        <f>SUM(AQ132:AU132)</f>
        <v>0</v>
      </c>
      <c r="AW132" s="183">
        <v>1</v>
      </c>
      <c r="AX132" s="318"/>
      <c r="AY132" s="249"/>
      <c r="AZ132" s="248"/>
      <c r="BA132" s="248"/>
      <c r="BB132" s="248"/>
      <c r="BC132" s="248"/>
      <c r="BD132" s="248"/>
      <c r="BE132" s="247"/>
      <c r="BF132" s="235"/>
      <c r="BH132" s="341"/>
      <c r="BI132" s="351"/>
      <c r="BJ132" s="351"/>
      <c r="BK132" s="351"/>
      <c r="BL132" s="350"/>
      <c r="BM132" s="319">
        <f>SUM(BH132:BL132)</f>
        <v>0</v>
      </c>
      <c r="BN132" s="183">
        <v>1</v>
      </c>
      <c r="BO132" s="318">
        <f>$G132*BM132*BN132</f>
        <v>0</v>
      </c>
      <c r="BP132" s="249"/>
      <c r="BQ132" s="248"/>
      <c r="BR132" s="248"/>
      <c r="BS132" s="248"/>
      <c r="BT132" s="248"/>
      <c r="BU132" s="248"/>
      <c r="BV132" s="247"/>
      <c r="BW132" s="235" t="e">
        <f>BO132*BV$130</f>
        <v>#REF!</v>
      </c>
      <c r="BY132" s="341"/>
      <c r="BZ132" s="351"/>
      <c r="CA132" s="351"/>
      <c r="CB132" s="351"/>
      <c r="CC132" s="350"/>
      <c r="CD132" s="319">
        <f>SUM(BY132:CC132)</f>
        <v>0</v>
      </c>
      <c r="CE132" s="183">
        <v>1</v>
      </c>
      <c r="CF132" s="318">
        <f>$G132*CD132*CE132</f>
        <v>0</v>
      </c>
      <c r="CG132" s="249"/>
      <c r="CH132" s="248"/>
      <c r="CI132" s="248"/>
      <c r="CJ132" s="248"/>
      <c r="CK132" s="248"/>
      <c r="CL132" s="248"/>
      <c r="CM132" s="247"/>
      <c r="CN132" s="235" t="e">
        <f>CF132*CM$130</f>
        <v>#REF!</v>
      </c>
      <c r="CP132" s="6"/>
      <c r="CQ132" s="234">
        <f>SUMIF(I$1:CO$1,1,I132:CO132)</f>
        <v>0</v>
      </c>
      <c r="CR132" s="6"/>
      <c r="CS132" s="233" t="e">
        <f>SUMIF(I$1:CO$1,2,I132:CO132)</f>
        <v>#REF!</v>
      </c>
      <c r="CU132" s="233">
        <f>SUMIF(I$1:CO$1,3,I132:CO132)</f>
        <v>0</v>
      </c>
      <c r="CW132" s="270"/>
      <c r="CX132" s="270"/>
    </row>
    <row r="133" spans="1:102" ht="15" customHeight="1" x14ac:dyDescent="0.25">
      <c r="A133" s="307"/>
      <c r="B133" s="326"/>
      <c r="C133" s="72" t="s">
        <v>353</v>
      </c>
      <c r="D133" s="265" t="s">
        <v>352</v>
      </c>
      <c r="E133" s="72" t="s">
        <v>232</v>
      </c>
      <c r="F133" s="263">
        <f>((0.04*(1.014*1.012*1.015)*1.1/1.17)*1.028)*(1.058)</f>
        <v>4.2602011654869328E-2</v>
      </c>
      <c r="G133" s="262">
        <f>F133*$G$1</f>
        <v>0</v>
      </c>
      <c r="I133" s="172"/>
      <c r="J133" s="294"/>
      <c r="K133" s="294"/>
      <c r="L133" s="294">
        <v>17.916280718935482</v>
      </c>
      <c r="M133" s="322"/>
      <c r="N133" s="321">
        <f>SUM(I133:M133)</f>
        <v>17.916280718935482</v>
      </c>
      <c r="O133" s="183">
        <v>1</v>
      </c>
      <c r="P133" s="318"/>
      <c r="Q133" s="249"/>
      <c r="R133" s="248"/>
      <c r="S133" s="248"/>
      <c r="T133" s="248"/>
      <c r="U133" s="248"/>
      <c r="V133" s="248"/>
      <c r="W133" s="247"/>
      <c r="X133" s="235">
        <f>P133*W$130</f>
        <v>0</v>
      </c>
      <c r="Z133" s="172"/>
      <c r="AA133" s="171"/>
      <c r="AB133" s="171"/>
      <c r="AC133" s="171"/>
      <c r="AD133" s="170"/>
      <c r="AE133" s="321">
        <f>SUM(Z133:AD133)</f>
        <v>0</v>
      </c>
      <c r="AF133" s="183">
        <v>1</v>
      </c>
      <c r="AG133" s="318"/>
      <c r="AH133" s="249"/>
      <c r="AI133" s="248"/>
      <c r="AJ133" s="248"/>
      <c r="AK133" s="248"/>
      <c r="AL133" s="248"/>
      <c r="AM133" s="248"/>
      <c r="AN133" s="247"/>
      <c r="AO133" s="235">
        <f>AG133*AN$130</f>
        <v>0</v>
      </c>
      <c r="AQ133" s="172"/>
      <c r="AR133" s="294"/>
      <c r="AS133" s="294"/>
      <c r="AT133" s="294"/>
      <c r="AU133" s="242"/>
      <c r="AV133" s="317">
        <f>SUM(AQ133:AU133)</f>
        <v>0</v>
      </c>
      <c r="AW133" s="183">
        <v>1</v>
      </c>
      <c r="AX133" s="318"/>
      <c r="AY133" s="249"/>
      <c r="AZ133" s="248"/>
      <c r="BA133" s="248"/>
      <c r="BB133" s="248"/>
      <c r="BC133" s="248"/>
      <c r="BD133" s="248"/>
      <c r="BE133" s="247"/>
      <c r="BF133" s="235"/>
      <c r="BH133" s="341"/>
      <c r="BI133" s="351"/>
      <c r="BJ133" s="351"/>
      <c r="BK133" s="351"/>
      <c r="BL133" s="350"/>
      <c r="BM133" s="319">
        <f>SUM(BH133:BL133)</f>
        <v>0</v>
      </c>
      <c r="BN133" s="183">
        <v>1</v>
      </c>
      <c r="BO133" s="318">
        <f>$G133*BM133*BN133</f>
        <v>0</v>
      </c>
      <c r="BP133" s="249"/>
      <c r="BQ133" s="248"/>
      <c r="BR133" s="248"/>
      <c r="BS133" s="248"/>
      <c r="BT133" s="248"/>
      <c r="BU133" s="248"/>
      <c r="BV133" s="247"/>
      <c r="BW133" s="235" t="e">
        <f>BO133*BV$130</f>
        <v>#REF!</v>
      </c>
      <c r="BY133" s="341"/>
      <c r="BZ133" s="351"/>
      <c r="CA133" s="351"/>
      <c r="CB133" s="351"/>
      <c r="CC133" s="350"/>
      <c r="CD133" s="319">
        <f>SUM(BY133:CC133)</f>
        <v>0</v>
      </c>
      <c r="CE133" s="183">
        <v>1</v>
      </c>
      <c r="CF133" s="318">
        <f>$G133*CD133*CE133</f>
        <v>0</v>
      </c>
      <c r="CG133" s="249"/>
      <c r="CH133" s="248"/>
      <c r="CI133" s="248"/>
      <c r="CJ133" s="248"/>
      <c r="CK133" s="248"/>
      <c r="CL133" s="248"/>
      <c r="CM133" s="247"/>
      <c r="CN133" s="235" t="e">
        <f>CF133*CM$130</f>
        <v>#REF!</v>
      </c>
      <c r="CP133" s="6"/>
      <c r="CQ133" s="234">
        <f>SUMIF(I$1:CO$1,1,I133:CO133)</f>
        <v>0</v>
      </c>
      <c r="CR133" s="6"/>
      <c r="CS133" s="233" t="e">
        <f>SUMIF(I$1:CO$1,2,I133:CO133)</f>
        <v>#REF!</v>
      </c>
      <c r="CU133" s="233">
        <f>SUMIF(I$1:CO$1,3,I133:CO133)</f>
        <v>0</v>
      </c>
      <c r="CW133" s="270"/>
      <c r="CX133" s="270"/>
    </row>
    <row r="134" spans="1:102" ht="15" customHeight="1" x14ac:dyDescent="0.25">
      <c r="A134" s="307"/>
      <c r="B134" s="326"/>
      <c r="C134" s="72" t="s">
        <v>351</v>
      </c>
      <c r="D134" s="265" t="s">
        <v>350</v>
      </c>
      <c r="E134" s="72" t="s">
        <v>232</v>
      </c>
      <c r="F134" s="263">
        <f>((0.045*(1.014*1.012*1.015)*1.1/1.17)*1.028)*(1.058)</f>
        <v>4.7927263111728E-2</v>
      </c>
      <c r="G134" s="262">
        <f>F134*$G$1</f>
        <v>0</v>
      </c>
      <c r="I134" s="172"/>
      <c r="J134" s="294"/>
      <c r="K134" s="294"/>
      <c r="L134" s="294"/>
      <c r="M134" s="322"/>
      <c r="N134" s="321">
        <f>SUM(I134:M134)</f>
        <v>0</v>
      </c>
      <c r="O134" s="183">
        <v>1</v>
      </c>
      <c r="P134" s="318"/>
      <c r="Q134" s="249"/>
      <c r="R134" s="248"/>
      <c r="S134" s="248"/>
      <c r="T134" s="248"/>
      <c r="U134" s="248"/>
      <c r="V134" s="248"/>
      <c r="W134" s="247"/>
      <c r="X134" s="235">
        <f>P134*W$130</f>
        <v>0</v>
      </c>
      <c r="Z134" s="172"/>
      <c r="AA134" s="171"/>
      <c r="AB134" s="171"/>
      <c r="AC134" s="171"/>
      <c r="AD134" s="170"/>
      <c r="AE134" s="321">
        <f>SUM(Z134:AD134)</f>
        <v>0</v>
      </c>
      <c r="AF134" s="183">
        <v>1</v>
      </c>
      <c r="AG134" s="318"/>
      <c r="AH134" s="249"/>
      <c r="AI134" s="248"/>
      <c r="AJ134" s="248"/>
      <c r="AK134" s="248"/>
      <c r="AL134" s="248"/>
      <c r="AM134" s="248"/>
      <c r="AN134" s="247"/>
      <c r="AO134" s="235">
        <f>AG134*AN$130</f>
        <v>0</v>
      </c>
      <c r="AQ134" s="172"/>
      <c r="AR134" s="294"/>
      <c r="AS134" s="294"/>
      <c r="AT134" s="294"/>
      <c r="AU134" s="242"/>
      <c r="AV134" s="317">
        <f>SUM(AQ134:AU134)</f>
        <v>0</v>
      </c>
      <c r="AW134" s="183">
        <v>1</v>
      </c>
      <c r="AX134" s="318"/>
      <c r="AY134" s="249"/>
      <c r="AZ134" s="248"/>
      <c r="BA134" s="248"/>
      <c r="BB134" s="248"/>
      <c r="BC134" s="248"/>
      <c r="BD134" s="248"/>
      <c r="BE134" s="247"/>
      <c r="BF134" s="235"/>
      <c r="BH134" s="341"/>
      <c r="BI134" s="351"/>
      <c r="BJ134" s="351"/>
      <c r="BK134" s="351"/>
      <c r="BL134" s="350"/>
      <c r="BM134" s="319">
        <f>SUM(BH134:BL134)</f>
        <v>0</v>
      </c>
      <c r="BN134" s="183">
        <v>1</v>
      </c>
      <c r="BO134" s="318">
        <f>$G134*BM134*BN134</f>
        <v>0</v>
      </c>
      <c r="BP134" s="249"/>
      <c r="BQ134" s="248"/>
      <c r="BR134" s="248"/>
      <c r="BS134" s="248"/>
      <c r="BT134" s="248"/>
      <c r="BU134" s="248"/>
      <c r="BV134" s="247"/>
      <c r="BW134" s="235" t="e">
        <f>BO134*BV$130</f>
        <v>#REF!</v>
      </c>
      <c r="BY134" s="341"/>
      <c r="BZ134" s="351"/>
      <c r="CA134" s="351"/>
      <c r="CB134" s="351"/>
      <c r="CC134" s="350"/>
      <c r="CD134" s="319">
        <f>SUM(BY134:CC134)</f>
        <v>0</v>
      </c>
      <c r="CE134" s="183">
        <v>1</v>
      </c>
      <c r="CF134" s="318">
        <f>$G134*CD134*CE134</f>
        <v>0</v>
      </c>
      <c r="CG134" s="249"/>
      <c r="CH134" s="248"/>
      <c r="CI134" s="248"/>
      <c r="CJ134" s="248"/>
      <c r="CK134" s="248"/>
      <c r="CL134" s="248"/>
      <c r="CM134" s="247"/>
      <c r="CN134" s="235" t="e">
        <f>CF134*CM$130</f>
        <v>#REF!</v>
      </c>
      <c r="CP134" s="6"/>
      <c r="CQ134" s="234">
        <f>SUMIF(I$1:CO$1,1,I134:CO134)</f>
        <v>0</v>
      </c>
      <c r="CR134" s="6"/>
      <c r="CS134" s="233" t="e">
        <f>SUMIF(I$1:CO$1,2,I134:CO134)</f>
        <v>#REF!</v>
      </c>
      <c r="CU134" s="233">
        <f>SUMIF(I$1:CO$1,3,I134:CO134)</f>
        <v>0</v>
      </c>
      <c r="CW134" s="270"/>
      <c r="CX134" s="270"/>
    </row>
    <row r="135" spans="1:102" ht="15" customHeight="1" x14ac:dyDescent="0.25">
      <c r="A135" s="307"/>
      <c r="B135" s="326"/>
      <c r="C135" s="72" t="s">
        <v>349</v>
      </c>
      <c r="D135" s="265" t="s">
        <v>348</v>
      </c>
      <c r="E135" s="72" t="s">
        <v>232</v>
      </c>
      <c r="F135" s="263">
        <f>((0.02*(1.014*1.012*1.015)*1.1/1.17)*1.028)*(1.058)</f>
        <v>2.1301005827434664E-2</v>
      </c>
      <c r="G135" s="262">
        <f>F135*$G$1</f>
        <v>0</v>
      </c>
      <c r="I135" s="172"/>
      <c r="J135" s="294"/>
      <c r="K135" s="294"/>
      <c r="L135" s="294"/>
      <c r="M135" s="322"/>
      <c r="N135" s="321">
        <f>SUM(I135:M135)</f>
        <v>0</v>
      </c>
      <c r="O135" s="183">
        <v>1</v>
      </c>
      <c r="P135" s="318"/>
      <c r="Q135" s="249"/>
      <c r="R135" s="248"/>
      <c r="S135" s="248"/>
      <c r="T135" s="248"/>
      <c r="U135" s="248"/>
      <c r="V135" s="248"/>
      <c r="W135" s="247"/>
      <c r="X135" s="235">
        <f>P135*W$130</f>
        <v>0</v>
      </c>
      <c r="Z135" s="172"/>
      <c r="AA135" s="171"/>
      <c r="AB135" s="171"/>
      <c r="AC135" s="171"/>
      <c r="AD135" s="170"/>
      <c r="AE135" s="321">
        <f>SUM(Z135:AD135)</f>
        <v>0</v>
      </c>
      <c r="AF135" s="183">
        <v>1</v>
      </c>
      <c r="AG135" s="318"/>
      <c r="AH135" s="249"/>
      <c r="AI135" s="248"/>
      <c r="AJ135" s="248"/>
      <c r="AK135" s="248"/>
      <c r="AL135" s="248"/>
      <c r="AM135" s="248"/>
      <c r="AN135" s="247"/>
      <c r="AO135" s="235">
        <f>AG135*AN$130</f>
        <v>0</v>
      </c>
      <c r="AQ135" s="172"/>
      <c r="AR135" s="294"/>
      <c r="AS135" s="294"/>
      <c r="AT135" s="294"/>
      <c r="AU135" s="242"/>
      <c r="AV135" s="317">
        <f>SUM(AQ135:AU135)</f>
        <v>0</v>
      </c>
      <c r="AW135" s="183">
        <v>1</v>
      </c>
      <c r="AX135" s="318"/>
      <c r="AY135" s="249"/>
      <c r="AZ135" s="248"/>
      <c r="BA135" s="248"/>
      <c r="BB135" s="248"/>
      <c r="BC135" s="248"/>
      <c r="BD135" s="248"/>
      <c r="BE135" s="247"/>
      <c r="BF135" s="235"/>
      <c r="BH135" s="167"/>
      <c r="BI135" s="320"/>
      <c r="BJ135" s="320"/>
      <c r="BK135" s="320"/>
      <c r="BL135" s="165"/>
      <c r="BM135" s="319">
        <f>SUM(BH135:BL135)</f>
        <v>0</v>
      </c>
      <c r="BN135" s="183">
        <v>1</v>
      </c>
      <c r="BO135" s="318">
        <f>$G135*BM135*BN135</f>
        <v>0</v>
      </c>
      <c r="BP135" s="249"/>
      <c r="BQ135" s="248"/>
      <c r="BR135" s="248"/>
      <c r="BS135" s="248"/>
      <c r="BT135" s="248"/>
      <c r="BU135" s="248"/>
      <c r="BV135" s="247"/>
      <c r="BW135" s="235" t="e">
        <f>BO135*BV$130</f>
        <v>#REF!</v>
      </c>
      <c r="BY135" s="167"/>
      <c r="BZ135" s="320"/>
      <c r="CA135" s="320"/>
      <c r="CB135" s="320"/>
      <c r="CC135" s="165"/>
      <c r="CD135" s="319">
        <f>SUM(BY135:CC135)</f>
        <v>0</v>
      </c>
      <c r="CE135" s="183">
        <v>1</v>
      </c>
      <c r="CF135" s="318">
        <f>$G135*CD135*CE135</f>
        <v>0</v>
      </c>
      <c r="CG135" s="249"/>
      <c r="CH135" s="248"/>
      <c r="CI135" s="248"/>
      <c r="CJ135" s="248"/>
      <c r="CK135" s="248"/>
      <c r="CL135" s="248"/>
      <c r="CM135" s="247"/>
      <c r="CN135" s="235" t="e">
        <f>CF135*CM$130</f>
        <v>#REF!</v>
      </c>
      <c r="CP135" s="6"/>
      <c r="CQ135" s="234">
        <f>SUMIF(I$1:CO$1,1,I135:CO135)</f>
        <v>0</v>
      </c>
      <c r="CR135" s="6"/>
      <c r="CS135" s="233" t="e">
        <f>SUMIF(I$1:CO$1,2,I135:CO135)</f>
        <v>#REF!</v>
      </c>
      <c r="CU135" s="233">
        <f>SUMIF(I$1:CO$1,3,I135:CO135)</f>
        <v>0</v>
      </c>
      <c r="CW135" s="270"/>
      <c r="CX135" s="270"/>
    </row>
    <row r="136" spans="1:102" ht="15" customHeight="1" x14ac:dyDescent="0.25">
      <c r="A136" s="307"/>
      <c r="B136" s="325"/>
      <c r="C136" s="72" t="s">
        <v>347</v>
      </c>
      <c r="D136" s="265" t="s">
        <v>346</v>
      </c>
      <c r="E136" s="72" t="s">
        <v>232</v>
      </c>
      <c r="F136" s="263">
        <f>((0.025*(1.014*1.012*1.015)*1.1/1.17)*1.028)*(1.058)</f>
        <v>2.6626257284293336E-2</v>
      </c>
      <c r="G136" s="262">
        <f>F136*$G$1</f>
        <v>0</v>
      </c>
      <c r="I136" s="172"/>
      <c r="J136" s="294"/>
      <c r="K136" s="294"/>
      <c r="L136" s="294"/>
      <c r="M136" s="322"/>
      <c r="N136" s="321">
        <f>SUM(I136:M136)</f>
        <v>0</v>
      </c>
      <c r="O136" s="183">
        <v>1</v>
      </c>
      <c r="P136" s="318"/>
      <c r="Q136" s="249"/>
      <c r="R136" s="248"/>
      <c r="S136" s="248"/>
      <c r="T136" s="248"/>
      <c r="U136" s="248"/>
      <c r="V136" s="248"/>
      <c r="W136" s="247"/>
      <c r="X136" s="235">
        <f>P136*W$130</f>
        <v>0</v>
      </c>
      <c r="Z136" s="172"/>
      <c r="AA136" s="171"/>
      <c r="AB136" s="171"/>
      <c r="AC136" s="171"/>
      <c r="AD136" s="170"/>
      <c r="AE136" s="321">
        <f>SUM(Z136:AD136)</f>
        <v>0</v>
      </c>
      <c r="AF136" s="183">
        <v>1</v>
      </c>
      <c r="AG136" s="318"/>
      <c r="AH136" s="249"/>
      <c r="AI136" s="248"/>
      <c r="AJ136" s="248"/>
      <c r="AK136" s="248"/>
      <c r="AL136" s="248"/>
      <c r="AM136" s="248"/>
      <c r="AN136" s="247"/>
      <c r="AO136" s="235">
        <f>AG136*AN$130</f>
        <v>0</v>
      </c>
      <c r="AQ136" s="172"/>
      <c r="AR136" s="294"/>
      <c r="AS136" s="294"/>
      <c r="AT136" s="294"/>
      <c r="AU136" s="242"/>
      <c r="AV136" s="317">
        <f>SUM(AQ136:AU136)</f>
        <v>0</v>
      </c>
      <c r="AW136" s="183">
        <v>1</v>
      </c>
      <c r="AX136" s="318"/>
      <c r="AY136" s="249"/>
      <c r="AZ136" s="248"/>
      <c r="BA136" s="248"/>
      <c r="BB136" s="248"/>
      <c r="BC136" s="248"/>
      <c r="BD136" s="248"/>
      <c r="BE136" s="247"/>
      <c r="BF136" s="235"/>
      <c r="BH136" s="341"/>
      <c r="BI136" s="351"/>
      <c r="BJ136" s="351"/>
      <c r="BK136" s="351"/>
      <c r="BL136" s="350"/>
      <c r="BM136" s="319">
        <f>SUM(BH136:BL136)</f>
        <v>0</v>
      </c>
      <c r="BN136" s="183">
        <v>1</v>
      </c>
      <c r="BO136" s="318">
        <f>$G136*BM136*BN136</f>
        <v>0</v>
      </c>
      <c r="BP136" s="249"/>
      <c r="BQ136" s="248"/>
      <c r="BR136" s="248"/>
      <c r="BS136" s="248"/>
      <c r="BT136" s="248"/>
      <c r="BU136" s="248"/>
      <c r="BV136" s="247"/>
      <c r="BW136" s="235" t="e">
        <f>BO136*BV$130</f>
        <v>#REF!</v>
      </c>
      <c r="BY136" s="341"/>
      <c r="BZ136" s="351"/>
      <c r="CA136" s="351"/>
      <c r="CB136" s="351"/>
      <c r="CC136" s="350"/>
      <c r="CD136" s="319">
        <f>SUM(BY136:CC136)</f>
        <v>0</v>
      </c>
      <c r="CE136" s="183">
        <v>1</v>
      </c>
      <c r="CF136" s="318">
        <f>$G136*CD136*CE136</f>
        <v>0</v>
      </c>
      <c r="CG136" s="249"/>
      <c r="CH136" s="248"/>
      <c r="CI136" s="248"/>
      <c r="CJ136" s="248"/>
      <c r="CK136" s="248"/>
      <c r="CL136" s="248"/>
      <c r="CM136" s="247"/>
      <c r="CN136" s="235" t="e">
        <f>CF136*CM$130</f>
        <v>#REF!</v>
      </c>
      <c r="CP136" s="6"/>
      <c r="CQ136" s="234">
        <f>SUMIF(I$1:CO$1,1,I136:CO136)</f>
        <v>0</v>
      </c>
      <c r="CR136" s="6"/>
      <c r="CS136" s="233" t="e">
        <f>SUMIF(I$1:CO$1,2,I136:CO136)</f>
        <v>#REF!</v>
      </c>
      <c r="CU136" s="233">
        <f>SUMIF(I$1:CO$1,3,I136:CO136)</f>
        <v>0</v>
      </c>
      <c r="CW136" s="270"/>
      <c r="CX136" s="270"/>
    </row>
    <row r="137" spans="1:102" ht="15" customHeight="1" x14ac:dyDescent="0.25">
      <c r="A137" s="307"/>
      <c r="B137" s="352" t="s">
        <v>345</v>
      </c>
      <c r="C137" s="72" t="s">
        <v>344</v>
      </c>
      <c r="D137" s="265" t="s">
        <v>343</v>
      </c>
      <c r="E137" s="72" t="s">
        <v>232</v>
      </c>
      <c r="F137" s="263">
        <f>((0.07*(1.014*1.012*1.015)*1.1/1.17)*1.028)*(1.058)</f>
        <v>7.4553520396021339E-2</v>
      </c>
      <c r="G137" s="262">
        <f>F137*$G$1</f>
        <v>0</v>
      </c>
      <c r="I137" s="172"/>
      <c r="J137" s="294"/>
      <c r="K137" s="294">
        <v>33.28920065500283</v>
      </c>
      <c r="L137" s="294"/>
      <c r="M137" s="322">
        <v>48.603913681765974</v>
      </c>
      <c r="N137" s="321">
        <f>SUM(I137:M137)</f>
        <v>81.893114336768804</v>
      </c>
      <c r="O137" s="183">
        <v>1</v>
      </c>
      <c r="P137" s="318"/>
      <c r="Q137" s="249"/>
      <c r="R137" s="248"/>
      <c r="S137" s="248"/>
      <c r="T137" s="248"/>
      <c r="U137" s="248"/>
      <c r="V137" s="248"/>
      <c r="W137" s="247"/>
      <c r="X137" s="235">
        <f>P137*W$130</f>
        <v>0</v>
      </c>
      <c r="Z137" s="172">
        <v>46.953821917533666</v>
      </c>
      <c r="AA137" s="171">
        <v>82.183309486308048</v>
      </c>
      <c r="AB137" s="171"/>
      <c r="AC137" s="171">
        <v>149.55954354363456</v>
      </c>
      <c r="AD137" s="170">
        <v>69.752075721933579</v>
      </c>
      <c r="AE137" s="321">
        <f>SUM(Z137:AD137)</f>
        <v>348.44875066940983</v>
      </c>
      <c r="AF137" s="183">
        <v>1</v>
      </c>
      <c r="AG137" s="318"/>
      <c r="AH137" s="249"/>
      <c r="AI137" s="248"/>
      <c r="AJ137" s="248"/>
      <c r="AK137" s="248"/>
      <c r="AL137" s="248"/>
      <c r="AM137" s="248"/>
      <c r="AN137" s="247"/>
      <c r="AO137" s="235">
        <f>AG137*AN$130</f>
        <v>0</v>
      </c>
      <c r="AQ137" s="172">
        <v>165.19154742231652</v>
      </c>
      <c r="AR137" s="294"/>
      <c r="AS137" s="294"/>
      <c r="AT137" s="294"/>
      <c r="AU137" s="242"/>
      <c r="AV137" s="317">
        <f>SUM(AQ137:AU137)</f>
        <v>165.19154742231652</v>
      </c>
      <c r="AW137" s="183">
        <v>1</v>
      </c>
      <c r="AX137" s="318"/>
      <c r="AY137" s="249"/>
      <c r="AZ137" s="248"/>
      <c r="BA137" s="248"/>
      <c r="BB137" s="248"/>
      <c r="BC137" s="248"/>
      <c r="BD137" s="248"/>
      <c r="BE137" s="247"/>
      <c r="BF137" s="235"/>
      <c r="BH137" s="341"/>
      <c r="BI137" s="351"/>
      <c r="BJ137" s="351"/>
      <c r="BK137" s="351"/>
      <c r="BL137" s="350"/>
      <c r="BM137" s="319">
        <f>SUM(BH137:BL137)</f>
        <v>0</v>
      </c>
      <c r="BN137" s="183">
        <v>1</v>
      </c>
      <c r="BO137" s="318">
        <f>$G137*BM137*BN137</f>
        <v>0</v>
      </c>
      <c r="BP137" s="249"/>
      <c r="BQ137" s="248"/>
      <c r="BR137" s="248"/>
      <c r="BS137" s="248"/>
      <c r="BT137" s="248"/>
      <c r="BU137" s="248"/>
      <c r="BV137" s="247"/>
      <c r="BW137" s="235" t="e">
        <f>BO137*BV$130</f>
        <v>#REF!</v>
      </c>
      <c r="BY137" s="341"/>
      <c r="BZ137" s="351"/>
      <c r="CA137" s="351"/>
      <c r="CB137" s="351"/>
      <c r="CC137" s="350"/>
      <c r="CD137" s="319">
        <f>SUM(BY137:CC137)</f>
        <v>0</v>
      </c>
      <c r="CE137" s="183">
        <v>1</v>
      </c>
      <c r="CF137" s="318">
        <f>$G137*CD137*CE137</f>
        <v>0</v>
      </c>
      <c r="CG137" s="249"/>
      <c r="CH137" s="248"/>
      <c r="CI137" s="248"/>
      <c r="CJ137" s="248"/>
      <c r="CK137" s="248"/>
      <c r="CL137" s="248"/>
      <c r="CM137" s="247"/>
      <c r="CN137" s="235" t="e">
        <f>CF137*CM$130</f>
        <v>#REF!</v>
      </c>
      <c r="CP137" s="6"/>
      <c r="CQ137" s="234">
        <f>SUMIF(I$1:CO$1,1,I137:CO137)</f>
        <v>0</v>
      </c>
      <c r="CR137" s="6"/>
      <c r="CS137" s="233" t="e">
        <f>SUMIF(I$1:CO$1,2,I137:CO137)</f>
        <v>#REF!</v>
      </c>
      <c r="CU137" s="233">
        <f>SUMIF(I$1:CO$1,3,I137:CO137)</f>
        <v>513.64029809172632</v>
      </c>
      <c r="CW137" s="270"/>
      <c r="CX137" s="270"/>
    </row>
    <row r="138" spans="1:102" ht="15" customHeight="1" x14ac:dyDescent="0.25">
      <c r="A138" s="307"/>
      <c r="B138" s="326"/>
      <c r="C138" s="72" t="s">
        <v>342</v>
      </c>
      <c r="D138" s="265" t="s">
        <v>341</v>
      </c>
      <c r="E138" s="72" t="s">
        <v>232</v>
      </c>
      <c r="F138" s="263">
        <f>((0.045*(1.014*1.012*1.015)*1.1/1.17)*1.028)*(1.058)</f>
        <v>4.7927263111728E-2</v>
      </c>
      <c r="G138" s="262">
        <f>F138*$G$1</f>
        <v>0</v>
      </c>
      <c r="I138" s="172"/>
      <c r="J138" s="294"/>
      <c r="K138" s="294"/>
      <c r="L138" s="294"/>
      <c r="M138" s="322"/>
      <c r="N138" s="321">
        <f>SUM(I138:M138)</f>
        <v>0</v>
      </c>
      <c r="O138" s="183">
        <v>1</v>
      </c>
      <c r="P138" s="318"/>
      <c r="Q138" s="249"/>
      <c r="R138" s="248"/>
      <c r="S138" s="248"/>
      <c r="T138" s="248"/>
      <c r="U138" s="248"/>
      <c r="V138" s="248"/>
      <c r="W138" s="247"/>
      <c r="X138" s="235">
        <f>P138*W$130</f>
        <v>0</v>
      </c>
      <c r="Z138" s="172"/>
      <c r="AA138" s="171"/>
      <c r="AB138" s="171"/>
      <c r="AC138" s="171"/>
      <c r="AD138" s="170"/>
      <c r="AE138" s="321">
        <f>SUM(Z138:AD138)</f>
        <v>0</v>
      </c>
      <c r="AF138" s="183">
        <v>1</v>
      </c>
      <c r="AG138" s="318"/>
      <c r="AH138" s="249"/>
      <c r="AI138" s="248"/>
      <c r="AJ138" s="248"/>
      <c r="AK138" s="248"/>
      <c r="AL138" s="248"/>
      <c r="AM138" s="248"/>
      <c r="AN138" s="247"/>
      <c r="AO138" s="235">
        <f>AG138*AN$130</f>
        <v>0</v>
      </c>
      <c r="AQ138" s="172"/>
      <c r="AR138" s="294"/>
      <c r="AS138" s="294"/>
      <c r="AT138" s="294"/>
      <c r="AU138" s="242"/>
      <c r="AV138" s="317">
        <f>SUM(AQ138:AU138)</f>
        <v>0</v>
      </c>
      <c r="AW138" s="183">
        <v>1</v>
      </c>
      <c r="AX138" s="318"/>
      <c r="AY138" s="249"/>
      <c r="AZ138" s="248"/>
      <c r="BA138" s="248"/>
      <c r="BB138" s="248"/>
      <c r="BC138" s="248"/>
      <c r="BD138" s="248"/>
      <c r="BE138" s="247"/>
      <c r="BF138" s="235"/>
      <c r="BH138" s="341"/>
      <c r="BI138" s="320"/>
      <c r="BJ138" s="320"/>
      <c r="BK138" s="320"/>
      <c r="BL138" s="165"/>
      <c r="BM138" s="319">
        <f>SUM(BH138:BL138)</f>
        <v>0</v>
      </c>
      <c r="BN138" s="183">
        <v>1</v>
      </c>
      <c r="BO138" s="318">
        <f>$G138*BM138*BN138</f>
        <v>0</v>
      </c>
      <c r="BP138" s="249"/>
      <c r="BQ138" s="248"/>
      <c r="BR138" s="248"/>
      <c r="BS138" s="248"/>
      <c r="BT138" s="248"/>
      <c r="BU138" s="248"/>
      <c r="BV138" s="247"/>
      <c r="BW138" s="235" t="e">
        <f>BO138*BV$130</f>
        <v>#REF!</v>
      </c>
      <c r="BY138" s="167"/>
      <c r="BZ138" s="320"/>
      <c r="CA138" s="320"/>
      <c r="CB138" s="320"/>
      <c r="CC138" s="165"/>
      <c r="CD138" s="319">
        <f>SUM(BY138:CC138)</f>
        <v>0</v>
      </c>
      <c r="CE138" s="183">
        <v>1</v>
      </c>
      <c r="CF138" s="318">
        <f>$G138*CD138*CE138</f>
        <v>0</v>
      </c>
      <c r="CG138" s="249"/>
      <c r="CH138" s="248"/>
      <c r="CI138" s="248"/>
      <c r="CJ138" s="248"/>
      <c r="CK138" s="248"/>
      <c r="CL138" s="248"/>
      <c r="CM138" s="247"/>
      <c r="CN138" s="235" t="e">
        <f>CF138*CM$130</f>
        <v>#REF!</v>
      </c>
      <c r="CP138" s="6"/>
      <c r="CQ138" s="234">
        <f>SUMIF(I$1:CO$1,1,I138:CO138)</f>
        <v>0</v>
      </c>
      <c r="CR138" s="6"/>
      <c r="CS138" s="233" t="e">
        <f>SUMIF(I$1:CO$1,2,I138:CO138)</f>
        <v>#REF!</v>
      </c>
      <c r="CU138" s="233">
        <f>SUMIF(I$1:CO$1,3,I138:CO138)</f>
        <v>0</v>
      </c>
      <c r="CW138" s="270"/>
      <c r="CX138" s="270"/>
    </row>
    <row r="139" spans="1:102" ht="15" customHeight="1" x14ac:dyDescent="0.25">
      <c r="A139" s="307"/>
      <c r="B139" s="325"/>
      <c r="C139" s="72" t="s">
        <v>340</v>
      </c>
      <c r="D139" s="265" t="s">
        <v>339</v>
      </c>
      <c r="E139" s="72" t="s">
        <v>232</v>
      </c>
      <c r="F139" s="263">
        <f>((0.005*(1.014*1.012*1.015)*1.1/1.17)*1.028)*(1.058)</f>
        <v>5.3252514568586659E-3</v>
      </c>
      <c r="G139" s="262">
        <f>F139*$G$1</f>
        <v>0</v>
      </c>
      <c r="I139" s="172"/>
      <c r="J139" s="294"/>
      <c r="K139" s="294">
        <v>42.490325918520348</v>
      </c>
      <c r="L139" s="294"/>
      <c r="M139" s="322"/>
      <c r="N139" s="321">
        <f>SUM(I139:M139)</f>
        <v>42.490325918520348</v>
      </c>
      <c r="O139" s="183">
        <v>1</v>
      </c>
      <c r="P139" s="318"/>
      <c r="Q139" s="249"/>
      <c r="R139" s="248"/>
      <c r="S139" s="248"/>
      <c r="T139" s="248"/>
      <c r="U139" s="248"/>
      <c r="V139" s="248"/>
      <c r="W139" s="247"/>
      <c r="X139" s="235">
        <f>P139*W$130</f>
        <v>0</v>
      </c>
      <c r="Z139" s="172"/>
      <c r="AA139" s="171"/>
      <c r="AB139" s="171"/>
      <c r="AC139" s="171"/>
      <c r="AD139" s="170"/>
      <c r="AE139" s="321">
        <f>SUM(Z139:AD139)</f>
        <v>0</v>
      </c>
      <c r="AF139" s="183">
        <v>1</v>
      </c>
      <c r="AG139" s="318"/>
      <c r="AH139" s="249"/>
      <c r="AI139" s="248"/>
      <c r="AJ139" s="248"/>
      <c r="AK139" s="248"/>
      <c r="AL139" s="248"/>
      <c r="AM139" s="248"/>
      <c r="AN139" s="247"/>
      <c r="AO139" s="235">
        <f>AG139*AN$130</f>
        <v>0</v>
      </c>
      <c r="AQ139" s="172">
        <v>17.504713299489552</v>
      </c>
      <c r="AR139" s="294"/>
      <c r="AS139" s="294"/>
      <c r="AT139" s="294"/>
      <c r="AU139" s="242"/>
      <c r="AV139" s="317">
        <f>SUM(AQ139:AU139)</f>
        <v>17.504713299489552</v>
      </c>
      <c r="AW139" s="183">
        <v>1</v>
      </c>
      <c r="AX139" s="318"/>
      <c r="AY139" s="249"/>
      <c r="AZ139" s="248"/>
      <c r="BA139" s="248"/>
      <c r="BB139" s="248"/>
      <c r="BC139" s="248"/>
      <c r="BD139" s="248"/>
      <c r="BE139" s="247"/>
      <c r="BF139" s="235"/>
      <c r="BH139" s="341"/>
      <c r="BI139" s="351"/>
      <c r="BJ139" s="351"/>
      <c r="BK139" s="351"/>
      <c r="BL139" s="350"/>
      <c r="BM139" s="319">
        <f>SUM(BH139:BL139)</f>
        <v>0</v>
      </c>
      <c r="BN139" s="183">
        <v>1</v>
      </c>
      <c r="BO139" s="318">
        <f>$G139*BM139*BN139</f>
        <v>0</v>
      </c>
      <c r="BP139" s="249"/>
      <c r="BQ139" s="248"/>
      <c r="BR139" s="248"/>
      <c r="BS139" s="248"/>
      <c r="BT139" s="248"/>
      <c r="BU139" s="248"/>
      <c r="BV139" s="247"/>
      <c r="BW139" s="235" t="e">
        <f>BO139*BV$130</f>
        <v>#REF!</v>
      </c>
      <c r="BY139" s="341"/>
      <c r="BZ139" s="351"/>
      <c r="CA139" s="351"/>
      <c r="CB139" s="351"/>
      <c r="CC139" s="350"/>
      <c r="CD139" s="319">
        <f>SUM(BY139:CC139)</f>
        <v>0</v>
      </c>
      <c r="CE139" s="183">
        <v>1</v>
      </c>
      <c r="CF139" s="318">
        <f>$G139*CD139*CE139</f>
        <v>0</v>
      </c>
      <c r="CG139" s="249"/>
      <c r="CH139" s="248"/>
      <c r="CI139" s="248"/>
      <c r="CJ139" s="248"/>
      <c r="CK139" s="248"/>
      <c r="CL139" s="248"/>
      <c r="CM139" s="247"/>
      <c r="CN139" s="235" t="e">
        <f>CF139*CM$130</f>
        <v>#REF!</v>
      </c>
      <c r="CP139" s="6"/>
      <c r="CQ139" s="234">
        <f>SUMIF(I$1:CO$1,1,I139:CO139)</f>
        <v>0</v>
      </c>
      <c r="CR139" s="6"/>
      <c r="CS139" s="233" t="e">
        <f>SUMIF(I$1:CO$1,2,I139:CO139)</f>
        <v>#REF!</v>
      </c>
      <c r="CU139" s="233">
        <f>SUMIF(I$1:CO$1,3,I139:CO139)</f>
        <v>17.504713299489552</v>
      </c>
      <c r="CW139" s="270"/>
      <c r="CX139" s="270"/>
    </row>
    <row r="140" spans="1:102" ht="15" customHeight="1" x14ac:dyDescent="0.25">
      <c r="A140" s="307"/>
      <c r="B140" s="352" t="s">
        <v>338</v>
      </c>
      <c r="C140" s="72" t="s">
        <v>337</v>
      </c>
      <c r="D140" s="265" t="s">
        <v>336</v>
      </c>
      <c r="E140" s="72" t="s">
        <v>232</v>
      </c>
      <c r="F140" s="263">
        <f>((0.115*(1.014*1.012*1.015)*1.1/1.17)*1.028)*(1.058)</f>
        <v>0.12248078350774932</v>
      </c>
      <c r="G140" s="262">
        <f>F140*$G$1</f>
        <v>0</v>
      </c>
      <c r="I140" s="172"/>
      <c r="J140" s="294"/>
      <c r="K140" s="294">
        <v>619.64904400859041</v>
      </c>
      <c r="L140" s="294"/>
      <c r="M140" s="322"/>
      <c r="N140" s="321">
        <f>SUM(I140:M140)</f>
        <v>619.64904400859041</v>
      </c>
      <c r="O140" s="183">
        <v>1</v>
      </c>
      <c r="P140" s="318"/>
      <c r="Q140" s="249"/>
      <c r="R140" s="248"/>
      <c r="S140" s="248"/>
      <c r="T140" s="248"/>
      <c r="U140" s="248"/>
      <c r="V140" s="248"/>
      <c r="W140" s="247"/>
      <c r="X140" s="235">
        <f>P140*W$130</f>
        <v>0</v>
      </c>
      <c r="Z140" s="172"/>
      <c r="AA140" s="171"/>
      <c r="AB140" s="171">
        <v>154.3779101380722</v>
      </c>
      <c r="AC140" s="171"/>
      <c r="AD140" s="170">
        <v>354.47807489942318</v>
      </c>
      <c r="AE140" s="321">
        <f>SUM(Z140:AD140)</f>
        <v>508.85598503749537</v>
      </c>
      <c r="AF140" s="183">
        <v>1</v>
      </c>
      <c r="AG140" s="318"/>
      <c r="AH140" s="249"/>
      <c r="AI140" s="248"/>
      <c r="AJ140" s="248"/>
      <c r="AK140" s="248"/>
      <c r="AL140" s="248"/>
      <c r="AM140" s="248"/>
      <c r="AN140" s="247"/>
      <c r="AO140" s="235">
        <f>AG140*AN$130</f>
        <v>0</v>
      </c>
      <c r="AQ140" s="172"/>
      <c r="AR140" s="294"/>
      <c r="AS140" s="294"/>
      <c r="AT140" s="294"/>
      <c r="AU140" s="242"/>
      <c r="AV140" s="317">
        <f>SUM(AQ140:AU140)</f>
        <v>0</v>
      </c>
      <c r="AW140" s="183">
        <v>1</v>
      </c>
      <c r="AX140" s="318"/>
      <c r="AY140" s="249"/>
      <c r="AZ140" s="248"/>
      <c r="BA140" s="248"/>
      <c r="BB140" s="248"/>
      <c r="BC140" s="248"/>
      <c r="BD140" s="248"/>
      <c r="BE140" s="247"/>
      <c r="BF140" s="235"/>
      <c r="BH140" s="341"/>
      <c r="BI140" s="351"/>
      <c r="BJ140" s="351"/>
      <c r="BK140" s="351"/>
      <c r="BL140" s="350"/>
      <c r="BM140" s="319">
        <f>SUM(BH140:BL140)</f>
        <v>0</v>
      </c>
      <c r="BN140" s="183">
        <v>1</v>
      </c>
      <c r="BO140" s="318">
        <f>$G140*BM140*BN140</f>
        <v>0</v>
      </c>
      <c r="BP140" s="249"/>
      <c r="BQ140" s="248"/>
      <c r="BR140" s="248"/>
      <c r="BS140" s="248"/>
      <c r="BT140" s="248"/>
      <c r="BU140" s="248"/>
      <c r="BV140" s="247"/>
      <c r="BW140" s="235" t="e">
        <f>BO140*BV$130</f>
        <v>#REF!</v>
      </c>
      <c r="BY140" s="341"/>
      <c r="BZ140" s="351"/>
      <c r="CA140" s="351"/>
      <c r="CB140" s="351"/>
      <c r="CC140" s="350"/>
      <c r="CD140" s="319">
        <f>SUM(BY140:CC140)</f>
        <v>0</v>
      </c>
      <c r="CE140" s="183">
        <v>1</v>
      </c>
      <c r="CF140" s="318">
        <f>$G140*CD140*CE140</f>
        <v>0</v>
      </c>
      <c r="CG140" s="249"/>
      <c r="CH140" s="248"/>
      <c r="CI140" s="248"/>
      <c r="CJ140" s="248"/>
      <c r="CK140" s="248"/>
      <c r="CL140" s="248"/>
      <c r="CM140" s="247"/>
      <c r="CN140" s="235" t="e">
        <f>CF140*CM$130</f>
        <v>#REF!</v>
      </c>
      <c r="CP140" s="6"/>
      <c r="CQ140" s="234">
        <f>SUMIF(I$1:CO$1,1,I140:CO140)</f>
        <v>0</v>
      </c>
      <c r="CR140" s="6"/>
      <c r="CS140" s="233" t="e">
        <f>SUMIF(I$1:CO$1,2,I140:CO140)</f>
        <v>#REF!</v>
      </c>
      <c r="CU140" s="233">
        <f>SUMIF(I$1:CO$1,3,I140:CO140)</f>
        <v>508.85598503749537</v>
      </c>
      <c r="CW140" s="270"/>
      <c r="CX140" s="270"/>
    </row>
    <row r="141" spans="1:102" ht="15" customHeight="1" x14ac:dyDescent="0.25">
      <c r="A141" s="307"/>
      <c r="B141" s="326"/>
      <c r="C141" s="72" t="s">
        <v>335</v>
      </c>
      <c r="D141" s="265" t="s">
        <v>334</v>
      </c>
      <c r="E141" s="72" t="s">
        <v>232</v>
      </c>
      <c r="F141" s="263">
        <f>(0.003*(1.014*1.012*1.015)*1.1/1.17)*1.028*(1.058)</f>
        <v>3.1951508741151994E-3</v>
      </c>
      <c r="G141" s="262">
        <f>F141*$G$1</f>
        <v>0</v>
      </c>
      <c r="I141" s="172"/>
      <c r="J141" s="294"/>
      <c r="K141" s="294"/>
      <c r="L141" s="294"/>
      <c r="M141" s="322"/>
      <c r="N141" s="321">
        <f>SUM(I141:M141)</f>
        <v>0</v>
      </c>
      <c r="O141" s="183">
        <v>1</v>
      </c>
      <c r="P141" s="318"/>
      <c r="Q141" s="249"/>
      <c r="R141" s="248"/>
      <c r="S141" s="248"/>
      <c r="T141" s="248"/>
      <c r="U141" s="248"/>
      <c r="V141" s="248"/>
      <c r="W141" s="247"/>
      <c r="X141" s="235">
        <f>P141*W$130</f>
        <v>0</v>
      </c>
      <c r="Z141" s="172"/>
      <c r="AA141" s="171"/>
      <c r="AB141" s="171"/>
      <c r="AC141" s="171"/>
      <c r="AD141" s="170"/>
      <c r="AE141" s="321">
        <f>SUM(Z141:AD141)</f>
        <v>0</v>
      </c>
      <c r="AF141" s="183">
        <v>1</v>
      </c>
      <c r="AG141" s="318"/>
      <c r="AH141" s="249"/>
      <c r="AI141" s="248"/>
      <c r="AJ141" s="248"/>
      <c r="AK141" s="248"/>
      <c r="AL141" s="248"/>
      <c r="AM141" s="248"/>
      <c r="AN141" s="247"/>
      <c r="AO141" s="235">
        <f>AG141*AN$130</f>
        <v>0</v>
      </c>
      <c r="AQ141" s="172"/>
      <c r="AR141" s="294"/>
      <c r="AS141" s="294"/>
      <c r="AT141" s="294"/>
      <c r="AU141" s="242"/>
      <c r="AV141" s="317">
        <f>SUM(AQ141:AU141)</f>
        <v>0</v>
      </c>
      <c r="AW141" s="183">
        <v>1</v>
      </c>
      <c r="AX141" s="318"/>
      <c r="AY141" s="249"/>
      <c r="AZ141" s="248"/>
      <c r="BA141" s="248"/>
      <c r="BB141" s="248"/>
      <c r="BC141" s="248"/>
      <c r="BD141" s="248"/>
      <c r="BE141" s="247"/>
      <c r="BF141" s="235"/>
      <c r="BH141" s="341"/>
      <c r="BI141" s="320"/>
      <c r="BJ141" s="320"/>
      <c r="BK141" s="320"/>
      <c r="BL141" s="165"/>
      <c r="BM141" s="319">
        <f>SUM(BH141:BL141)</f>
        <v>0</v>
      </c>
      <c r="BN141" s="183">
        <v>1</v>
      </c>
      <c r="BO141" s="318">
        <f>$G141*BM141*BN141</f>
        <v>0</v>
      </c>
      <c r="BP141" s="249"/>
      <c r="BQ141" s="248"/>
      <c r="BR141" s="248"/>
      <c r="BS141" s="248"/>
      <c r="BT141" s="248"/>
      <c r="BU141" s="248"/>
      <c r="BV141" s="247"/>
      <c r="BW141" s="235" t="e">
        <f>BO141*BV$130</f>
        <v>#REF!</v>
      </c>
      <c r="BY141" s="167"/>
      <c r="BZ141" s="320"/>
      <c r="CA141" s="320"/>
      <c r="CB141" s="320"/>
      <c r="CC141" s="165"/>
      <c r="CD141" s="319">
        <f>SUM(BY141:CC141)</f>
        <v>0</v>
      </c>
      <c r="CE141" s="183">
        <v>1</v>
      </c>
      <c r="CF141" s="318">
        <f>$G141*CD141*CE141</f>
        <v>0</v>
      </c>
      <c r="CG141" s="249"/>
      <c r="CH141" s="248"/>
      <c r="CI141" s="248"/>
      <c r="CJ141" s="248"/>
      <c r="CK141" s="248"/>
      <c r="CL141" s="248"/>
      <c r="CM141" s="247"/>
      <c r="CN141" s="235" t="e">
        <f>CF141*CM$130</f>
        <v>#REF!</v>
      </c>
      <c r="CP141" s="6"/>
      <c r="CQ141" s="234">
        <f>SUMIF(I$1:CO$1,1,I141:CO141)</f>
        <v>0</v>
      </c>
      <c r="CR141" s="6"/>
      <c r="CS141" s="233" t="e">
        <f>SUMIF(I$1:CO$1,2,I141:CO141)</f>
        <v>#REF!</v>
      </c>
      <c r="CU141" s="233">
        <f>SUMIF(I$1:CO$1,3,I141:CO141)</f>
        <v>0</v>
      </c>
      <c r="CW141" s="270"/>
      <c r="CX141" s="270"/>
    </row>
    <row r="142" spans="1:102" ht="15" customHeight="1" x14ac:dyDescent="0.25">
      <c r="A142" s="307"/>
      <c r="B142" s="326"/>
      <c r="C142" s="72" t="s">
        <v>333</v>
      </c>
      <c r="D142" s="265" t="s">
        <v>332</v>
      </c>
      <c r="E142" s="72" t="s">
        <v>243</v>
      </c>
      <c r="F142" s="263">
        <f>(0.18*(1.014*1.012*1.015)*1.1/1.17)*1.028*(1.058)</f>
        <v>0.191709052446912</v>
      </c>
      <c r="G142" s="262">
        <f>F142*$G$1</f>
        <v>0</v>
      </c>
      <c r="I142" s="172"/>
      <c r="J142" s="294"/>
      <c r="K142" s="294"/>
      <c r="L142" s="294"/>
      <c r="M142" s="322"/>
      <c r="N142" s="321">
        <f>SUM(I142:M142)</f>
        <v>0</v>
      </c>
      <c r="O142" s="183">
        <v>1</v>
      </c>
      <c r="P142" s="318"/>
      <c r="Q142" s="249"/>
      <c r="R142" s="248"/>
      <c r="S142" s="248"/>
      <c r="T142" s="248"/>
      <c r="U142" s="248"/>
      <c r="V142" s="248"/>
      <c r="W142" s="247"/>
      <c r="X142" s="235">
        <f>P142*W$130</f>
        <v>0</v>
      </c>
      <c r="Z142" s="172"/>
      <c r="AA142" s="171"/>
      <c r="AB142" s="171"/>
      <c r="AC142" s="171"/>
      <c r="AD142" s="170"/>
      <c r="AE142" s="321">
        <f>SUM(Z142:AD142)</f>
        <v>0</v>
      </c>
      <c r="AF142" s="183">
        <v>1</v>
      </c>
      <c r="AG142" s="318"/>
      <c r="AH142" s="249"/>
      <c r="AI142" s="248"/>
      <c r="AJ142" s="248"/>
      <c r="AK142" s="248"/>
      <c r="AL142" s="248"/>
      <c r="AM142" s="248"/>
      <c r="AN142" s="247"/>
      <c r="AO142" s="235">
        <f>AG142*AN$130</f>
        <v>0</v>
      </c>
      <c r="AQ142" s="172"/>
      <c r="AR142" s="294"/>
      <c r="AS142" s="294"/>
      <c r="AT142" s="294"/>
      <c r="AU142" s="242"/>
      <c r="AV142" s="317">
        <f>SUM(AQ142:AU142)</f>
        <v>0</v>
      </c>
      <c r="AW142" s="183">
        <v>1</v>
      </c>
      <c r="AX142" s="318"/>
      <c r="AY142" s="249"/>
      <c r="AZ142" s="248"/>
      <c r="BA142" s="248"/>
      <c r="BB142" s="248"/>
      <c r="BC142" s="248"/>
      <c r="BD142" s="248"/>
      <c r="BE142" s="247"/>
      <c r="BF142" s="235"/>
      <c r="BH142" s="341"/>
      <c r="BI142" s="320"/>
      <c r="BJ142" s="320"/>
      <c r="BK142" s="320"/>
      <c r="BL142" s="165"/>
      <c r="BM142" s="319">
        <f>SUM(BH142:BL142)</f>
        <v>0</v>
      </c>
      <c r="BN142" s="183">
        <v>1</v>
      </c>
      <c r="BO142" s="318">
        <f>$G142*BM142*BN142</f>
        <v>0</v>
      </c>
      <c r="BP142" s="249"/>
      <c r="BQ142" s="248"/>
      <c r="BR142" s="248"/>
      <c r="BS142" s="248"/>
      <c r="BT142" s="248"/>
      <c r="BU142" s="248"/>
      <c r="BV142" s="247"/>
      <c r="BW142" s="235" t="e">
        <f>BO142*BV$130</f>
        <v>#REF!</v>
      </c>
      <c r="BY142" s="167"/>
      <c r="BZ142" s="320"/>
      <c r="CA142" s="320"/>
      <c r="CB142" s="320"/>
      <c r="CC142" s="165"/>
      <c r="CD142" s="319">
        <f>SUM(BY142:CC142)</f>
        <v>0</v>
      </c>
      <c r="CE142" s="183">
        <v>1</v>
      </c>
      <c r="CF142" s="318">
        <f>$G142*CD142*CE142</f>
        <v>0</v>
      </c>
      <c r="CG142" s="249"/>
      <c r="CH142" s="248"/>
      <c r="CI142" s="248"/>
      <c r="CJ142" s="248"/>
      <c r="CK142" s="248"/>
      <c r="CL142" s="248"/>
      <c r="CM142" s="247"/>
      <c r="CN142" s="235" t="e">
        <f>CF142*CM$130</f>
        <v>#REF!</v>
      </c>
      <c r="CP142" s="6"/>
      <c r="CQ142" s="234">
        <f>SUMIF(I$1:CO$1,1,I142:CO142)</f>
        <v>0</v>
      </c>
      <c r="CR142" s="6"/>
      <c r="CS142" s="233" t="e">
        <f>SUMIF(I$1:CO$1,2,I142:CO142)</f>
        <v>#REF!</v>
      </c>
      <c r="CU142" s="233">
        <f>SUMIF(I$1:CO$1,3,I142:CO142)</f>
        <v>0</v>
      </c>
      <c r="CW142" s="270"/>
      <c r="CX142" s="270"/>
    </row>
    <row r="143" spans="1:102" ht="15" customHeight="1" x14ac:dyDescent="0.25">
      <c r="A143" s="307"/>
      <c r="B143" s="326"/>
      <c r="C143" s="72" t="s">
        <v>331</v>
      </c>
      <c r="D143" s="265" t="s">
        <v>330</v>
      </c>
      <c r="E143" s="72" t="s">
        <v>232</v>
      </c>
      <c r="F143" s="263">
        <f>((0.05*(1.014*1.012*1.015)*1.1/1.17)*1.028)*(1.058)</f>
        <v>5.3252514568586672E-2</v>
      </c>
      <c r="G143" s="262">
        <f>F143*$G$1</f>
        <v>0</v>
      </c>
      <c r="I143" s="172"/>
      <c r="J143" s="294"/>
      <c r="K143" s="294"/>
      <c r="L143" s="294"/>
      <c r="M143" s="322"/>
      <c r="N143" s="321">
        <f>SUM(I143:M143)</f>
        <v>0</v>
      </c>
      <c r="O143" s="183">
        <v>1</v>
      </c>
      <c r="P143" s="318"/>
      <c r="Q143" s="249"/>
      <c r="R143" s="248"/>
      <c r="S143" s="248"/>
      <c r="T143" s="248"/>
      <c r="U143" s="248"/>
      <c r="V143" s="248"/>
      <c r="W143" s="247"/>
      <c r="X143" s="235">
        <f>P143*W$130</f>
        <v>0</v>
      </c>
      <c r="Z143" s="172"/>
      <c r="AA143" s="171"/>
      <c r="AB143" s="171"/>
      <c r="AC143" s="171"/>
      <c r="AD143" s="170"/>
      <c r="AE143" s="321">
        <f>SUM(Z143:AD143)</f>
        <v>0</v>
      </c>
      <c r="AF143" s="183">
        <v>1</v>
      </c>
      <c r="AG143" s="318"/>
      <c r="AH143" s="249"/>
      <c r="AI143" s="248"/>
      <c r="AJ143" s="248"/>
      <c r="AK143" s="248"/>
      <c r="AL143" s="248"/>
      <c r="AM143" s="248"/>
      <c r="AN143" s="247"/>
      <c r="AO143" s="235">
        <f>AG143*AN$130</f>
        <v>0</v>
      </c>
      <c r="AQ143" s="172"/>
      <c r="AR143" s="294"/>
      <c r="AS143" s="294"/>
      <c r="AT143" s="294"/>
      <c r="AU143" s="242"/>
      <c r="AV143" s="317">
        <f>SUM(AQ143:AU143)</f>
        <v>0</v>
      </c>
      <c r="AW143" s="183">
        <v>1</v>
      </c>
      <c r="AX143" s="318"/>
      <c r="AY143" s="249"/>
      <c r="AZ143" s="248"/>
      <c r="BA143" s="248"/>
      <c r="BB143" s="248"/>
      <c r="BC143" s="248"/>
      <c r="BD143" s="248"/>
      <c r="BE143" s="247"/>
      <c r="BF143" s="235"/>
      <c r="BH143" s="341"/>
      <c r="BI143" s="320"/>
      <c r="BJ143" s="320"/>
      <c r="BK143" s="320"/>
      <c r="BL143" s="165"/>
      <c r="BM143" s="319">
        <f>SUM(BH143:BL143)</f>
        <v>0</v>
      </c>
      <c r="BN143" s="183">
        <v>1</v>
      </c>
      <c r="BO143" s="318">
        <f>$G143*BM143*BN143</f>
        <v>0</v>
      </c>
      <c r="BP143" s="249"/>
      <c r="BQ143" s="248"/>
      <c r="BR143" s="248"/>
      <c r="BS143" s="248"/>
      <c r="BT143" s="248"/>
      <c r="BU143" s="248"/>
      <c r="BV143" s="247"/>
      <c r="BW143" s="235" t="e">
        <f>BO143*BV$130</f>
        <v>#REF!</v>
      </c>
      <c r="BY143" s="167"/>
      <c r="BZ143" s="320"/>
      <c r="CA143" s="320"/>
      <c r="CB143" s="320"/>
      <c r="CC143" s="165"/>
      <c r="CD143" s="319">
        <f>SUM(BY143:CC143)</f>
        <v>0</v>
      </c>
      <c r="CE143" s="183">
        <v>1</v>
      </c>
      <c r="CF143" s="318">
        <f>$G143*CD143*CE143</f>
        <v>0</v>
      </c>
      <c r="CG143" s="249"/>
      <c r="CH143" s="248"/>
      <c r="CI143" s="248"/>
      <c r="CJ143" s="248"/>
      <c r="CK143" s="248"/>
      <c r="CL143" s="248"/>
      <c r="CM143" s="247"/>
      <c r="CN143" s="235" t="e">
        <f>CF143*CM$130</f>
        <v>#REF!</v>
      </c>
      <c r="CP143" s="6"/>
      <c r="CQ143" s="234">
        <f>SUMIF(I$1:CO$1,1,I143:CO143)</f>
        <v>0</v>
      </c>
      <c r="CR143" s="6"/>
      <c r="CS143" s="233" t="e">
        <f>SUMIF(I$1:CO$1,2,I143:CO143)</f>
        <v>#REF!</v>
      </c>
      <c r="CU143" s="233">
        <f>SUMIF(I$1:CO$1,3,I143:CO143)</f>
        <v>0</v>
      </c>
      <c r="CW143" s="270"/>
      <c r="CX143" s="270"/>
    </row>
    <row r="144" spans="1:102" ht="15" customHeight="1" x14ac:dyDescent="0.25">
      <c r="A144" s="307"/>
      <c r="B144" s="325"/>
      <c r="C144" s="72" t="s">
        <v>329</v>
      </c>
      <c r="D144" s="265" t="s">
        <v>328</v>
      </c>
      <c r="E144" s="72" t="s">
        <v>232</v>
      </c>
      <c r="F144" s="263">
        <f>((0.009*(1.014*1.012*1.015)*1.1/1.17)*1.028)*(1.058)</f>
        <v>9.5854526223455999E-3</v>
      </c>
      <c r="G144" s="262">
        <f>F144*$G$1</f>
        <v>0</v>
      </c>
      <c r="I144" s="172"/>
      <c r="J144" s="294"/>
      <c r="K144" s="294"/>
      <c r="L144" s="294"/>
      <c r="M144" s="322"/>
      <c r="N144" s="321">
        <f>SUM(I144:M144)</f>
        <v>0</v>
      </c>
      <c r="O144" s="183">
        <v>1</v>
      </c>
      <c r="P144" s="318"/>
      <c r="Q144" s="249"/>
      <c r="R144" s="248"/>
      <c r="S144" s="248"/>
      <c r="T144" s="248"/>
      <c r="U144" s="248"/>
      <c r="V144" s="248"/>
      <c r="W144" s="247"/>
      <c r="X144" s="235">
        <f>P144*W$130</f>
        <v>0</v>
      </c>
      <c r="Z144" s="172"/>
      <c r="AA144" s="171"/>
      <c r="AB144" s="171"/>
      <c r="AC144" s="171"/>
      <c r="AD144" s="170"/>
      <c r="AE144" s="321">
        <f>SUM(Z144:AD144)</f>
        <v>0</v>
      </c>
      <c r="AF144" s="183">
        <v>1</v>
      </c>
      <c r="AG144" s="318"/>
      <c r="AH144" s="249"/>
      <c r="AI144" s="248"/>
      <c r="AJ144" s="248"/>
      <c r="AK144" s="248"/>
      <c r="AL144" s="248"/>
      <c r="AM144" s="248"/>
      <c r="AN144" s="247"/>
      <c r="AO144" s="235">
        <f>AG144*AN$130</f>
        <v>0</v>
      </c>
      <c r="AQ144" s="172"/>
      <c r="AR144" s="294"/>
      <c r="AS144" s="294"/>
      <c r="AT144" s="294"/>
      <c r="AU144" s="242"/>
      <c r="AV144" s="317">
        <f>SUM(AQ144:AU144)</f>
        <v>0</v>
      </c>
      <c r="AW144" s="183">
        <v>1</v>
      </c>
      <c r="AX144" s="318"/>
      <c r="AY144" s="249"/>
      <c r="AZ144" s="248"/>
      <c r="BA144" s="248"/>
      <c r="BB144" s="248"/>
      <c r="BC144" s="248"/>
      <c r="BD144" s="248"/>
      <c r="BE144" s="247"/>
      <c r="BF144" s="235"/>
      <c r="BH144" s="341"/>
      <c r="BI144" s="351"/>
      <c r="BJ144" s="351"/>
      <c r="BK144" s="351"/>
      <c r="BL144" s="350"/>
      <c r="BM144" s="319">
        <f>SUM(BH144:BL144)</f>
        <v>0</v>
      </c>
      <c r="BN144" s="183">
        <v>1</v>
      </c>
      <c r="BO144" s="318">
        <f>$G144*BM144*BN144</f>
        <v>0</v>
      </c>
      <c r="BP144" s="249"/>
      <c r="BQ144" s="248"/>
      <c r="BR144" s="248"/>
      <c r="BS144" s="248"/>
      <c r="BT144" s="248"/>
      <c r="BU144" s="248"/>
      <c r="BV144" s="247"/>
      <c r="BW144" s="235" t="e">
        <f>BO144*BV$130</f>
        <v>#REF!</v>
      </c>
      <c r="BY144" s="341"/>
      <c r="BZ144" s="351"/>
      <c r="CA144" s="351"/>
      <c r="CB144" s="351"/>
      <c r="CC144" s="350"/>
      <c r="CD144" s="319">
        <f>SUM(BY144:CC144)</f>
        <v>0</v>
      </c>
      <c r="CE144" s="183">
        <v>1</v>
      </c>
      <c r="CF144" s="318">
        <f>$G144*CD144*CE144</f>
        <v>0</v>
      </c>
      <c r="CG144" s="249"/>
      <c r="CH144" s="248"/>
      <c r="CI144" s="248"/>
      <c r="CJ144" s="248"/>
      <c r="CK144" s="248"/>
      <c r="CL144" s="248"/>
      <c r="CM144" s="247"/>
      <c r="CN144" s="235" t="e">
        <f>CF144*CM$130</f>
        <v>#REF!</v>
      </c>
      <c r="CP144" s="6"/>
      <c r="CQ144" s="234">
        <f>SUMIF(I$1:CO$1,1,I144:CO144)</f>
        <v>0</v>
      </c>
      <c r="CR144" s="6"/>
      <c r="CS144" s="233" t="e">
        <f>SUMIF(I$1:CO$1,2,I144:CO144)</f>
        <v>#REF!</v>
      </c>
      <c r="CU144" s="233">
        <f>SUMIF(I$1:CO$1,3,I144:CO144)</f>
        <v>0</v>
      </c>
      <c r="CW144" s="270"/>
      <c r="CX144" s="270"/>
    </row>
    <row r="145" spans="1:102" ht="15" customHeight="1" x14ac:dyDescent="0.25">
      <c r="A145" s="307"/>
      <c r="B145" s="352" t="s">
        <v>327</v>
      </c>
      <c r="C145" s="72" t="s">
        <v>326</v>
      </c>
      <c r="D145" s="265" t="s">
        <v>325</v>
      </c>
      <c r="E145" s="72" t="s">
        <v>232</v>
      </c>
      <c r="F145" s="263">
        <f>((0.035*(1.014*1.012*1.015)*1.1/1.17)*1.028)*(1.058)</f>
        <v>3.7276760198010669E-2</v>
      </c>
      <c r="G145" s="262">
        <f>F145*$G$1</f>
        <v>0</v>
      </c>
      <c r="I145" s="172"/>
      <c r="J145" s="294"/>
      <c r="K145" s="294"/>
      <c r="L145" s="294"/>
      <c r="M145" s="322"/>
      <c r="N145" s="321">
        <f>SUM(I145:M145)</f>
        <v>0</v>
      </c>
      <c r="O145" s="183">
        <v>1</v>
      </c>
      <c r="P145" s="318"/>
      <c r="Q145" s="249"/>
      <c r="R145" s="248"/>
      <c r="S145" s="248"/>
      <c r="T145" s="248"/>
      <c r="U145" s="248"/>
      <c r="V145" s="248"/>
      <c r="W145" s="247"/>
      <c r="X145" s="235">
        <f>P145*W$130</f>
        <v>0</v>
      </c>
      <c r="Z145" s="172"/>
      <c r="AA145" s="171"/>
      <c r="AB145" s="171"/>
      <c r="AC145" s="171"/>
      <c r="AD145" s="170"/>
      <c r="AE145" s="321">
        <f>SUM(Z145:AD145)</f>
        <v>0</v>
      </c>
      <c r="AF145" s="183">
        <v>1</v>
      </c>
      <c r="AG145" s="318"/>
      <c r="AH145" s="249"/>
      <c r="AI145" s="248"/>
      <c r="AJ145" s="248"/>
      <c r="AK145" s="248"/>
      <c r="AL145" s="248"/>
      <c r="AM145" s="248"/>
      <c r="AN145" s="247"/>
      <c r="AO145" s="235">
        <f>AG145*AN$130</f>
        <v>0</v>
      </c>
      <c r="AQ145" s="172"/>
      <c r="AR145" s="294"/>
      <c r="AS145" s="294"/>
      <c r="AT145" s="294"/>
      <c r="AU145" s="242"/>
      <c r="AV145" s="317">
        <f>SUM(AQ145:AU145)</f>
        <v>0</v>
      </c>
      <c r="AW145" s="183">
        <v>1</v>
      </c>
      <c r="AX145" s="318"/>
      <c r="AY145" s="249"/>
      <c r="AZ145" s="248"/>
      <c r="BA145" s="248"/>
      <c r="BB145" s="248"/>
      <c r="BC145" s="248"/>
      <c r="BD145" s="248"/>
      <c r="BE145" s="247"/>
      <c r="BF145" s="235"/>
      <c r="BH145" s="341"/>
      <c r="BI145" s="351"/>
      <c r="BJ145" s="351"/>
      <c r="BK145" s="351"/>
      <c r="BL145" s="350"/>
      <c r="BM145" s="319">
        <f>SUM(BH145:BL145)</f>
        <v>0</v>
      </c>
      <c r="BN145" s="183">
        <v>1</v>
      </c>
      <c r="BO145" s="318">
        <f>$G145*BM145*BN145</f>
        <v>0</v>
      </c>
      <c r="BP145" s="249"/>
      <c r="BQ145" s="248"/>
      <c r="BR145" s="248"/>
      <c r="BS145" s="248"/>
      <c r="BT145" s="248"/>
      <c r="BU145" s="248"/>
      <c r="BV145" s="247"/>
      <c r="BW145" s="235" t="e">
        <f>BO145*BV$130</f>
        <v>#REF!</v>
      </c>
      <c r="BY145" s="341"/>
      <c r="BZ145" s="351"/>
      <c r="CA145" s="351"/>
      <c r="CB145" s="351"/>
      <c r="CC145" s="350"/>
      <c r="CD145" s="319">
        <f>SUM(BY145:CC145)</f>
        <v>0</v>
      </c>
      <c r="CE145" s="183">
        <v>1</v>
      </c>
      <c r="CF145" s="318">
        <f>$G145*CD145*CE145</f>
        <v>0</v>
      </c>
      <c r="CG145" s="249"/>
      <c r="CH145" s="248"/>
      <c r="CI145" s="248"/>
      <c r="CJ145" s="248"/>
      <c r="CK145" s="248"/>
      <c r="CL145" s="248"/>
      <c r="CM145" s="247"/>
      <c r="CN145" s="235" t="e">
        <f>CF145*CM$130</f>
        <v>#REF!</v>
      </c>
      <c r="CP145" s="6"/>
      <c r="CQ145" s="234">
        <f>SUMIF(I$1:CO$1,1,I145:CO145)</f>
        <v>0</v>
      </c>
      <c r="CR145" s="6"/>
      <c r="CS145" s="233" t="e">
        <f>SUMIF(I$1:CO$1,2,I145:CO145)</f>
        <v>#REF!</v>
      </c>
      <c r="CU145" s="233">
        <f>SUMIF(I$1:CO$1,3,I145:CO145)</f>
        <v>0</v>
      </c>
      <c r="CW145" s="270"/>
      <c r="CX145" s="270"/>
    </row>
    <row r="146" spans="1:102" ht="15" customHeight="1" x14ac:dyDescent="0.25">
      <c r="A146" s="307"/>
      <c r="B146" s="326"/>
      <c r="C146" s="72" t="s">
        <v>324</v>
      </c>
      <c r="D146" s="265" t="s">
        <v>323</v>
      </c>
      <c r="E146" s="72" t="s">
        <v>243</v>
      </c>
      <c r="F146" s="263">
        <f>((1.25*(1.014*1.012*1.015)*1.1/1.17)*1.028)*(1.058)</f>
        <v>1.331312864214667</v>
      </c>
      <c r="G146" s="262">
        <f>F146*$G$1</f>
        <v>0</v>
      </c>
      <c r="I146" s="172"/>
      <c r="J146" s="294"/>
      <c r="K146" s="294"/>
      <c r="L146" s="294"/>
      <c r="M146" s="322"/>
      <c r="N146" s="321">
        <f>SUM(I146:M146)</f>
        <v>0</v>
      </c>
      <c r="O146" s="183">
        <v>1</v>
      </c>
      <c r="P146" s="318"/>
      <c r="Q146" s="249"/>
      <c r="R146" s="248"/>
      <c r="S146" s="248"/>
      <c r="T146" s="248"/>
      <c r="U146" s="248"/>
      <c r="V146" s="248"/>
      <c r="W146" s="247"/>
      <c r="X146" s="235">
        <f>P146*W$130</f>
        <v>0</v>
      </c>
      <c r="Z146" s="172"/>
      <c r="AA146" s="171">
        <v>2</v>
      </c>
      <c r="AB146" s="171"/>
      <c r="AC146" s="171"/>
      <c r="AD146" s="170"/>
      <c r="AE146" s="321">
        <f>SUM(Z146:AD146)</f>
        <v>2</v>
      </c>
      <c r="AF146" s="183">
        <v>1</v>
      </c>
      <c r="AG146" s="318"/>
      <c r="AH146" s="249"/>
      <c r="AI146" s="248"/>
      <c r="AJ146" s="248"/>
      <c r="AK146" s="248"/>
      <c r="AL146" s="248"/>
      <c r="AM146" s="248"/>
      <c r="AN146" s="247"/>
      <c r="AO146" s="235">
        <f>AG146*AN$130</f>
        <v>0</v>
      </c>
      <c r="AQ146" s="172">
        <v>1</v>
      </c>
      <c r="AR146" s="294"/>
      <c r="AS146" s="294"/>
      <c r="AT146" s="294"/>
      <c r="AU146" s="242"/>
      <c r="AV146" s="317">
        <f>SUM(AQ146:AU146)</f>
        <v>1</v>
      </c>
      <c r="AW146" s="183">
        <v>1</v>
      </c>
      <c r="AX146" s="318"/>
      <c r="AY146" s="249"/>
      <c r="AZ146" s="248"/>
      <c r="BA146" s="248"/>
      <c r="BB146" s="248"/>
      <c r="BC146" s="248"/>
      <c r="BD146" s="248"/>
      <c r="BE146" s="247"/>
      <c r="BF146" s="235"/>
      <c r="BH146" s="341"/>
      <c r="BI146" s="351"/>
      <c r="BJ146" s="351"/>
      <c r="BK146" s="351"/>
      <c r="BL146" s="350"/>
      <c r="BM146" s="319">
        <f>SUM(BH146:BL146)</f>
        <v>0</v>
      </c>
      <c r="BN146" s="183">
        <v>1</v>
      </c>
      <c r="BO146" s="318">
        <f>$G146*BM146*BN146</f>
        <v>0</v>
      </c>
      <c r="BP146" s="249"/>
      <c r="BQ146" s="248"/>
      <c r="BR146" s="248"/>
      <c r="BS146" s="248"/>
      <c r="BT146" s="248"/>
      <c r="BU146" s="248"/>
      <c r="BV146" s="247"/>
      <c r="BW146" s="235" t="e">
        <f>BO146*BV$130</f>
        <v>#REF!</v>
      </c>
      <c r="BY146" s="341"/>
      <c r="BZ146" s="351"/>
      <c r="CA146" s="351"/>
      <c r="CB146" s="351"/>
      <c r="CC146" s="350"/>
      <c r="CD146" s="319">
        <f>SUM(BY146:CC146)</f>
        <v>0</v>
      </c>
      <c r="CE146" s="183">
        <v>1</v>
      </c>
      <c r="CF146" s="318">
        <f>$G146*CD146*CE146</f>
        <v>0</v>
      </c>
      <c r="CG146" s="249"/>
      <c r="CH146" s="248"/>
      <c r="CI146" s="248"/>
      <c r="CJ146" s="248"/>
      <c r="CK146" s="248"/>
      <c r="CL146" s="248"/>
      <c r="CM146" s="247"/>
      <c r="CN146" s="235" t="e">
        <f>CF146*CM$130</f>
        <v>#REF!</v>
      </c>
      <c r="CP146" s="6"/>
      <c r="CQ146" s="234">
        <f>SUMIF(I$1:CO$1,1,I146:CO146)</f>
        <v>0</v>
      </c>
      <c r="CR146" s="6"/>
      <c r="CS146" s="233" t="e">
        <f>SUMIF(I$1:CO$1,2,I146:CO146)</f>
        <v>#REF!</v>
      </c>
      <c r="CU146" s="233">
        <f>SUMIF(I$1:CO$1,3,I146:CO146)</f>
        <v>3</v>
      </c>
      <c r="CW146" s="270"/>
      <c r="CX146" s="270"/>
    </row>
    <row r="147" spans="1:102" ht="15" customHeight="1" x14ac:dyDescent="0.25">
      <c r="A147" s="307"/>
      <c r="B147" s="325"/>
      <c r="C147" s="72" t="s">
        <v>322</v>
      </c>
      <c r="D147" s="265" t="s">
        <v>321</v>
      </c>
      <c r="E147" s="72" t="s">
        <v>243</v>
      </c>
      <c r="F147" s="263">
        <f>((3*(1.014*1.012*1.015)*1.1/1.17)*1.028)*(1.058)</f>
        <v>3.1951508741151997</v>
      </c>
      <c r="G147" s="262">
        <f>F147*$G$1</f>
        <v>0</v>
      </c>
      <c r="I147" s="172"/>
      <c r="J147" s="294"/>
      <c r="K147" s="294"/>
      <c r="L147" s="294"/>
      <c r="M147" s="322"/>
      <c r="N147" s="321">
        <f>SUM(I147:M147)</f>
        <v>0</v>
      </c>
      <c r="O147" s="183">
        <v>1</v>
      </c>
      <c r="P147" s="318"/>
      <c r="Q147" s="249"/>
      <c r="R147" s="248"/>
      <c r="S147" s="248"/>
      <c r="T147" s="248"/>
      <c r="U147" s="248"/>
      <c r="V147" s="248"/>
      <c r="W147" s="247"/>
      <c r="X147" s="235">
        <f>P147*W$130</f>
        <v>0</v>
      </c>
      <c r="Z147" s="172"/>
      <c r="AA147" s="171"/>
      <c r="AB147" s="171"/>
      <c r="AC147" s="171"/>
      <c r="AD147" s="170"/>
      <c r="AE147" s="321">
        <f>SUM(Z147:AD147)</f>
        <v>0</v>
      </c>
      <c r="AF147" s="183">
        <v>1</v>
      </c>
      <c r="AG147" s="318"/>
      <c r="AH147" s="249"/>
      <c r="AI147" s="248"/>
      <c r="AJ147" s="248"/>
      <c r="AK147" s="248"/>
      <c r="AL147" s="248"/>
      <c r="AM147" s="248"/>
      <c r="AN147" s="247"/>
      <c r="AO147" s="235">
        <f>AG147*AN$130</f>
        <v>0</v>
      </c>
      <c r="AQ147" s="172"/>
      <c r="AR147" s="294"/>
      <c r="AS147" s="294"/>
      <c r="AT147" s="294"/>
      <c r="AU147" s="242"/>
      <c r="AV147" s="317">
        <f>SUM(AQ147:AU147)</f>
        <v>0</v>
      </c>
      <c r="AW147" s="183">
        <v>1</v>
      </c>
      <c r="AX147" s="318"/>
      <c r="AY147" s="249"/>
      <c r="AZ147" s="248"/>
      <c r="BA147" s="248"/>
      <c r="BB147" s="248"/>
      <c r="BC147" s="248"/>
      <c r="BD147" s="248"/>
      <c r="BE147" s="247"/>
      <c r="BF147" s="235"/>
      <c r="BH147" s="341"/>
      <c r="BI147" s="351"/>
      <c r="BJ147" s="351"/>
      <c r="BK147" s="351"/>
      <c r="BL147" s="350"/>
      <c r="BM147" s="319">
        <f>SUM(BH147:BL147)</f>
        <v>0</v>
      </c>
      <c r="BN147" s="183">
        <v>1</v>
      </c>
      <c r="BO147" s="318">
        <f>$G147*BM147*BN147</f>
        <v>0</v>
      </c>
      <c r="BP147" s="249"/>
      <c r="BQ147" s="248"/>
      <c r="BR147" s="248"/>
      <c r="BS147" s="248"/>
      <c r="BT147" s="248"/>
      <c r="BU147" s="248"/>
      <c r="BV147" s="247"/>
      <c r="BW147" s="235" t="e">
        <f>BO147*BV$130</f>
        <v>#REF!</v>
      </c>
      <c r="BY147" s="341"/>
      <c r="BZ147" s="351"/>
      <c r="CA147" s="351"/>
      <c r="CB147" s="351"/>
      <c r="CC147" s="350"/>
      <c r="CD147" s="319">
        <f>SUM(BY147:CC147)</f>
        <v>0</v>
      </c>
      <c r="CE147" s="183">
        <v>1</v>
      </c>
      <c r="CF147" s="318">
        <f>$G147*CD147*CE147</f>
        <v>0</v>
      </c>
      <c r="CG147" s="249"/>
      <c r="CH147" s="248"/>
      <c r="CI147" s="248"/>
      <c r="CJ147" s="248"/>
      <c r="CK147" s="248"/>
      <c r="CL147" s="248"/>
      <c r="CM147" s="247"/>
      <c r="CN147" s="235" t="e">
        <f>CF147*CM$130</f>
        <v>#REF!</v>
      </c>
      <c r="CP147" s="6"/>
      <c r="CQ147" s="234">
        <f>SUMIF(I$1:CO$1,1,I147:CO147)</f>
        <v>0</v>
      </c>
      <c r="CR147" s="6"/>
      <c r="CS147" s="233" t="e">
        <f>SUMIF(I$1:CO$1,2,I147:CO147)</f>
        <v>#REF!</v>
      </c>
      <c r="CU147" s="233">
        <f>SUMIF(I$1:CO$1,3,I147:CO147)</f>
        <v>0</v>
      </c>
      <c r="CW147" s="270"/>
      <c r="CX147" s="270"/>
    </row>
    <row r="148" spans="1:102" ht="15" customHeight="1" x14ac:dyDescent="0.25">
      <c r="A148" s="307"/>
      <c r="B148" s="352" t="s">
        <v>320</v>
      </c>
      <c r="C148" s="72" t="s">
        <v>319</v>
      </c>
      <c r="D148" s="265" t="s">
        <v>318</v>
      </c>
      <c r="E148" s="72" t="s">
        <v>232</v>
      </c>
      <c r="F148" s="263">
        <f>((0.025*(1.014*1.012*1.015)*1.1/1.17)*1.028)*(1.058)</f>
        <v>2.6626257284293336E-2</v>
      </c>
      <c r="G148" s="262">
        <f>F148*$G$1</f>
        <v>0</v>
      </c>
      <c r="I148" s="172"/>
      <c r="J148" s="294"/>
      <c r="K148" s="294">
        <v>868.51665869094938</v>
      </c>
      <c r="L148" s="294"/>
      <c r="M148" s="322"/>
      <c r="N148" s="321">
        <f>SUM(I148:M148)</f>
        <v>868.51665869094938</v>
      </c>
      <c r="O148" s="183">
        <v>1</v>
      </c>
      <c r="P148" s="318"/>
      <c r="Q148" s="249"/>
      <c r="R148" s="248"/>
      <c r="S148" s="248"/>
      <c r="T148" s="248"/>
      <c r="U148" s="248"/>
      <c r="V148" s="248"/>
      <c r="W148" s="247"/>
      <c r="X148" s="235">
        <f>P148*W$130</f>
        <v>0</v>
      </c>
      <c r="Z148" s="172"/>
      <c r="AA148" s="171"/>
      <c r="AB148" s="171"/>
      <c r="AC148" s="171"/>
      <c r="AD148" s="170"/>
      <c r="AE148" s="321">
        <f>SUM(Z148:AD148)</f>
        <v>0</v>
      </c>
      <c r="AF148" s="183">
        <v>1</v>
      </c>
      <c r="AG148" s="318"/>
      <c r="AH148" s="249"/>
      <c r="AI148" s="248"/>
      <c r="AJ148" s="248"/>
      <c r="AK148" s="248"/>
      <c r="AL148" s="248"/>
      <c r="AM148" s="248"/>
      <c r="AN148" s="247"/>
      <c r="AO148" s="235">
        <f>AG148*AN$130</f>
        <v>0</v>
      </c>
      <c r="AQ148" s="172"/>
      <c r="AR148" s="294"/>
      <c r="AS148" s="294"/>
      <c r="AT148" s="294"/>
      <c r="AU148" s="242"/>
      <c r="AV148" s="317">
        <f>SUM(AQ148:AU148)</f>
        <v>0</v>
      </c>
      <c r="AW148" s="183">
        <v>1</v>
      </c>
      <c r="AX148" s="318"/>
      <c r="AY148" s="249"/>
      <c r="AZ148" s="248"/>
      <c r="BA148" s="248"/>
      <c r="BB148" s="248"/>
      <c r="BC148" s="248"/>
      <c r="BD148" s="248"/>
      <c r="BE148" s="247"/>
      <c r="BF148" s="235"/>
      <c r="BH148" s="341"/>
      <c r="BI148" s="351"/>
      <c r="BJ148" s="351"/>
      <c r="BK148" s="351"/>
      <c r="BL148" s="350"/>
      <c r="BM148" s="319">
        <f>SUM(BH148:BL148)</f>
        <v>0</v>
      </c>
      <c r="BN148" s="183">
        <v>1</v>
      </c>
      <c r="BO148" s="318">
        <f>$G148*BM148*BN148</f>
        <v>0</v>
      </c>
      <c r="BP148" s="249"/>
      <c r="BQ148" s="248"/>
      <c r="BR148" s="248"/>
      <c r="BS148" s="248"/>
      <c r="BT148" s="248"/>
      <c r="BU148" s="248"/>
      <c r="BV148" s="247"/>
      <c r="BW148" s="235" t="e">
        <f>BO148*BV$130</f>
        <v>#REF!</v>
      </c>
      <c r="BY148" s="341"/>
      <c r="BZ148" s="351"/>
      <c r="CA148" s="351"/>
      <c r="CB148" s="351"/>
      <c r="CC148" s="350"/>
      <c r="CD148" s="319">
        <f>SUM(BY148:CC148)</f>
        <v>0</v>
      </c>
      <c r="CE148" s="183">
        <v>1</v>
      </c>
      <c r="CF148" s="318">
        <f>$G148*CD148*CE148</f>
        <v>0</v>
      </c>
      <c r="CG148" s="249"/>
      <c r="CH148" s="248"/>
      <c r="CI148" s="248"/>
      <c r="CJ148" s="248"/>
      <c r="CK148" s="248"/>
      <c r="CL148" s="248"/>
      <c r="CM148" s="247"/>
      <c r="CN148" s="235" t="e">
        <f>CF148*CM$130</f>
        <v>#REF!</v>
      </c>
      <c r="CP148" s="6"/>
      <c r="CQ148" s="234">
        <f>SUMIF(I$1:CO$1,1,I148:CO148)</f>
        <v>0</v>
      </c>
      <c r="CR148" s="6"/>
      <c r="CS148" s="233" t="e">
        <f>SUMIF(I$1:CO$1,2,I148:CO148)</f>
        <v>#REF!</v>
      </c>
      <c r="CU148" s="233">
        <f>SUMIF(I$1:CO$1,3,I148:CO148)</f>
        <v>0</v>
      </c>
      <c r="CW148" s="270"/>
      <c r="CX148" s="270"/>
    </row>
    <row r="149" spans="1:102" ht="15" customHeight="1" x14ac:dyDescent="0.25">
      <c r="A149" s="307"/>
      <c r="B149" s="326"/>
      <c r="C149" s="72" t="s">
        <v>317</v>
      </c>
      <c r="D149" s="265" t="s">
        <v>316</v>
      </c>
      <c r="E149" s="72" t="s">
        <v>232</v>
      </c>
      <c r="F149" s="263">
        <f>((0.03*(1.014*1.012*1.015)*1.1/1.17)*1.028)*(1.058)</f>
        <v>3.1951508741151997E-2</v>
      </c>
      <c r="G149" s="262">
        <f>F149*$G$1</f>
        <v>0</v>
      </c>
      <c r="I149" s="172"/>
      <c r="J149" s="294"/>
      <c r="K149" s="294"/>
      <c r="L149" s="294"/>
      <c r="M149" s="322"/>
      <c r="N149" s="321">
        <f>SUM(I149:M149)</f>
        <v>0</v>
      </c>
      <c r="O149" s="183">
        <v>1</v>
      </c>
      <c r="P149" s="318"/>
      <c r="Q149" s="249"/>
      <c r="R149" s="248"/>
      <c r="S149" s="248"/>
      <c r="T149" s="248"/>
      <c r="U149" s="248"/>
      <c r="V149" s="248"/>
      <c r="W149" s="247"/>
      <c r="X149" s="235">
        <f>P149*W$130</f>
        <v>0</v>
      </c>
      <c r="Z149" s="172"/>
      <c r="AA149" s="171"/>
      <c r="AB149" s="171"/>
      <c r="AC149" s="171"/>
      <c r="AD149" s="170"/>
      <c r="AE149" s="321">
        <f>SUM(Z149:AD149)</f>
        <v>0</v>
      </c>
      <c r="AF149" s="183">
        <v>1</v>
      </c>
      <c r="AG149" s="318"/>
      <c r="AH149" s="249"/>
      <c r="AI149" s="248"/>
      <c r="AJ149" s="248"/>
      <c r="AK149" s="248"/>
      <c r="AL149" s="248"/>
      <c r="AM149" s="248"/>
      <c r="AN149" s="247"/>
      <c r="AO149" s="235">
        <f>AG149*AN$130</f>
        <v>0</v>
      </c>
      <c r="AQ149" s="172"/>
      <c r="AR149" s="294"/>
      <c r="AS149" s="294"/>
      <c r="AT149" s="294"/>
      <c r="AU149" s="242"/>
      <c r="AV149" s="317">
        <f>SUM(AQ149:AU149)</f>
        <v>0</v>
      </c>
      <c r="AW149" s="183">
        <v>1</v>
      </c>
      <c r="AX149" s="318"/>
      <c r="AY149" s="249"/>
      <c r="AZ149" s="248"/>
      <c r="BA149" s="248"/>
      <c r="BB149" s="248"/>
      <c r="BC149" s="248"/>
      <c r="BD149" s="248"/>
      <c r="BE149" s="247"/>
      <c r="BF149" s="235"/>
      <c r="BH149" s="341"/>
      <c r="BI149" s="351"/>
      <c r="BJ149" s="351"/>
      <c r="BK149" s="351"/>
      <c r="BL149" s="350"/>
      <c r="BM149" s="319">
        <f>SUM(BH149:BL149)</f>
        <v>0</v>
      </c>
      <c r="BN149" s="183">
        <v>1</v>
      </c>
      <c r="BO149" s="318">
        <f>$G149*BM149*BN149</f>
        <v>0</v>
      </c>
      <c r="BP149" s="249"/>
      <c r="BQ149" s="248"/>
      <c r="BR149" s="248"/>
      <c r="BS149" s="248"/>
      <c r="BT149" s="248"/>
      <c r="BU149" s="248"/>
      <c r="BV149" s="247"/>
      <c r="BW149" s="235" t="e">
        <f>BO149*BV$130</f>
        <v>#REF!</v>
      </c>
      <c r="BY149" s="341"/>
      <c r="BZ149" s="351"/>
      <c r="CA149" s="351"/>
      <c r="CB149" s="351"/>
      <c r="CC149" s="350"/>
      <c r="CD149" s="319">
        <f>SUM(BY149:CC149)</f>
        <v>0</v>
      </c>
      <c r="CE149" s="183">
        <v>1</v>
      </c>
      <c r="CF149" s="318">
        <f>$G149*CD149*CE149</f>
        <v>0</v>
      </c>
      <c r="CG149" s="249"/>
      <c r="CH149" s="248"/>
      <c r="CI149" s="248"/>
      <c r="CJ149" s="248"/>
      <c r="CK149" s="248"/>
      <c r="CL149" s="248"/>
      <c r="CM149" s="247"/>
      <c r="CN149" s="235" t="e">
        <f>CF149*CM$130</f>
        <v>#REF!</v>
      </c>
      <c r="CP149" s="6"/>
      <c r="CQ149" s="234">
        <f>SUMIF(I$1:CO$1,1,I149:CO149)</f>
        <v>0</v>
      </c>
      <c r="CR149" s="6"/>
      <c r="CS149" s="233" t="e">
        <f>SUMIF(I$1:CO$1,2,I149:CO149)</f>
        <v>#REF!</v>
      </c>
      <c r="CU149" s="233">
        <f>SUMIF(I$1:CO$1,3,I149:CO149)</f>
        <v>0</v>
      </c>
      <c r="CW149" s="270"/>
      <c r="CX149" s="270"/>
    </row>
    <row r="150" spans="1:102" ht="15" customHeight="1" x14ac:dyDescent="0.25">
      <c r="A150" s="307"/>
      <c r="B150" s="326"/>
      <c r="C150" s="72" t="s">
        <v>315</v>
      </c>
      <c r="D150" s="265" t="s">
        <v>314</v>
      </c>
      <c r="E150" s="72" t="s">
        <v>232</v>
      </c>
      <c r="F150" s="263">
        <f>((0.01*(1.014*1.012*1.015)*1.1/1.17)*1.028)*(1.058)</f>
        <v>1.0650502913717332E-2</v>
      </c>
      <c r="G150" s="262">
        <f>F150*$G$1</f>
        <v>0</v>
      </c>
      <c r="I150" s="172"/>
      <c r="J150" s="294"/>
      <c r="K150" s="294"/>
      <c r="L150" s="294"/>
      <c r="M150" s="322"/>
      <c r="N150" s="321">
        <f>SUM(I150:M150)</f>
        <v>0</v>
      </c>
      <c r="O150" s="183">
        <v>1</v>
      </c>
      <c r="P150" s="318"/>
      <c r="Q150" s="249"/>
      <c r="R150" s="248"/>
      <c r="S150" s="248"/>
      <c r="T150" s="248"/>
      <c r="U150" s="248"/>
      <c r="V150" s="248"/>
      <c r="W150" s="247"/>
      <c r="X150" s="235">
        <f>P150*W$130</f>
        <v>0</v>
      </c>
      <c r="Z150" s="172"/>
      <c r="AA150" s="171"/>
      <c r="AB150" s="171"/>
      <c r="AC150" s="171"/>
      <c r="AD150" s="170"/>
      <c r="AE150" s="321">
        <f>SUM(Z150:AD150)</f>
        <v>0</v>
      </c>
      <c r="AF150" s="183">
        <v>1</v>
      </c>
      <c r="AG150" s="318"/>
      <c r="AH150" s="249"/>
      <c r="AI150" s="248"/>
      <c r="AJ150" s="248"/>
      <c r="AK150" s="248"/>
      <c r="AL150" s="248"/>
      <c r="AM150" s="248"/>
      <c r="AN150" s="247"/>
      <c r="AO150" s="235">
        <f>AG150*AN$130</f>
        <v>0</v>
      </c>
      <c r="AQ150" s="172"/>
      <c r="AR150" s="294"/>
      <c r="AS150" s="294"/>
      <c r="AT150" s="294"/>
      <c r="AU150" s="242"/>
      <c r="AV150" s="317">
        <f>SUM(AQ150:AU150)</f>
        <v>0</v>
      </c>
      <c r="AW150" s="183">
        <v>1</v>
      </c>
      <c r="AX150" s="318"/>
      <c r="AY150" s="249"/>
      <c r="AZ150" s="248"/>
      <c r="BA150" s="248"/>
      <c r="BB150" s="248"/>
      <c r="BC150" s="248"/>
      <c r="BD150" s="248"/>
      <c r="BE150" s="247"/>
      <c r="BF150" s="235"/>
      <c r="BH150" s="341"/>
      <c r="BI150" s="320"/>
      <c r="BJ150" s="320"/>
      <c r="BK150" s="320"/>
      <c r="BL150" s="165"/>
      <c r="BM150" s="319">
        <f>SUM(BH150:BL150)</f>
        <v>0</v>
      </c>
      <c r="BN150" s="183">
        <v>1</v>
      </c>
      <c r="BO150" s="318">
        <f>$G150*BM150*BN150</f>
        <v>0</v>
      </c>
      <c r="BP150" s="249"/>
      <c r="BQ150" s="248"/>
      <c r="BR150" s="248"/>
      <c r="BS150" s="248"/>
      <c r="BT150" s="248"/>
      <c r="BU150" s="248"/>
      <c r="BV150" s="247"/>
      <c r="BW150" s="235" t="e">
        <f>BO150*BV$130</f>
        <v>#REF!</v>
      </c>
      <c r="BY150" s="167"/>
      <c r="BZ150" s="320"/>
      <c r="CA150" s="320"/>
      <c r="CB150" s="320"/>
      <c r="CC150" s="165"/>
      <c r="CD150" s="319">
        <f>SUM(BY150:CC150)</f>
        <v>0</v>
      </c>
      <c r="CE150" s="183">
        <v>1</v>
      </c>
      <c r="CF150" s="318">
        <f>$G150*CD150*CE150</f>
        <v>0</v>
      </c>
      <c r="CG150" s="249"/>
      <c r="CH150" s="248"/>
      <c r="CI150" s="248"/>
      <c r="CJ150" s="248"/>
      <c r="CK150" s="248"/>
      <c r="CL150" s="248"/>
      <c r="CM150" s="247"/>
      <c r="CN150" s="235" t="e">
        <f>CF150*CM$130</f>
        <v>#REF!</v>
      </c>
      <c r="CP150" s="6"/>
      <c r="CQ150" s="234">
        <f>SUMIF(I$1:CO$1,1,I150:CO150)</f>
        <v>0</v>
      </c>
      <c r="CR150" s="6"/>
      <c r="CS150" s="233" t="e">
        <f>SUMIF(I$1:CO$1,2,I150:CO150)</f>
        <v>#REF!</v>
      </c>
      <c r="CU150" s="233">
        <f>SUMIF(I$1:CO$1,3,I150:CO150)</f>
        <v>0</v>
      </c>
      <c r="CW150" s="270"/>
      <c r="CX150" s="270"/>
    </row>
    <row r="151" spans="1:102" ht="15" customHeight="1" x14ac:dyDescent="0.25">
      <c r="A151" s="307"/>
      <c r="B151" s="326"/>
      <c r="C151" s="72" t="s">
        <v>313</v>
      </c>
      <c r="D151" s="265" t="s">
        <v>312</v>
      </c>
      <c r="E151" s="72" t="s">
        <v>232</v>
      </c>
      <c r="F151" s="263">
        <f>((0.0095*(1.014*1.012*1.015)*1.1/1.17)*1.028)*(1.058)</f>
        <v>1.0117977768031467E-2</v>
      </c>
      <c r="G151" s="262">
        <f>F151*$G$1</f>
        <v>0</v>
      </c>
      <c r="I151" s="172"/>
      <c r="J151" s="294"/>
      <c r="K151" s="294"/>
      <c r="L151" s="294"/>
      <c r="M151" s="322"/>
      <c r="N151" s="321">
        <f>SUM(I151:M151)</f>
        <v>0</v>
      </c>
      <c r="O151" s="183">
        <v>1</v>
      </c>
      <c r="P151" s="318"/>
      <c r="Q151" s="249"/>
      <c r="R151" s="248"/>
      <c r="S151" s="248"/>
      <c r="T151" s="248"/>
      <c r="U151" s="248"/>
      <c r="V151" s="248"/>
      <c r="W151" s="247"/>
      <c r="X151" s="235">
        <f>P151*W$130</f>
        <v>0</v>
      </c>
      <c r="Z151" s="172"/>
      <c r="AA151" s="171"/>
      <c r="AB151" s="171"/>
      <c r="AC151" s="171"/>
      <c r="AD151" s="170"/>
      <c r="AE151" s="321">
        <f>SUM(Z151:AD151)</f>
        <v>0</v>
      </c>
      <c r="AF151" s="183">
        <v>1</v>
      </c>
      <c r="AG151" s="318"/>
      <c r="AH151" s="249"/>
      <c r="AI151" s="248"/>
      <c r="AJ151" s="248"/>
      <c r="AK151" s="248"/>
      <c r="AL151" s="248"/>
      <c r="AM151" s="248"/>
      <c r="AN151" s="247"/>
      <c r="AO151" s="235">
        <f>AG151*AN$130</f>
        <v>0</v>
      </c>
      <c r="AQ151" s="172"/>
      <c r="AR151" s="294"/>
      <c r="AS151" s="294"/>
      <c r="AT151" s="294"/>
      <c r="AU151" s="242"/>
      <c r="AV151" s="317">
        <f>SUM(AQ151:AU151)</f>
        <v>0</v>
      </c>
      <c r="AW151" s="183">
        <v>1</v>
      </c>
      <c r="AX151" s="318"/>
      <c r="AY151" s="249"/>
      <c r="AZ151" s="248"/>
      <c r="BA151" s="248"/>
      <c r="BB151" s="248"/>
      <c r="BC151" s="248"/>
      <c r="BD151" s="248"/>
      <c r="BE151" s="247"/>
      <c r="BF151" s="235"/>
      <c r="BH151" s="341"/>
      <c r="BI151" s="320"/>
      <c r="BJ151" s="320"/>
      <c r="BK151" s="320"/>
      <c r="BL151" s="165"/>
      <c r="BM151" s="319">
        <f>SUM(BH151:BL151)</f>
        <v>0</v>
      </c>
      <c r="BN151" s="183">
        <v>1</v>
      </c>
      <c r="BO151" s="318">
        <f>$G151*BM151*BN151</f>
        <v>0</v>
      </c>
      <c r="BP151" s="249"/>
      <c r="BQ151" s="248"/>
      <c r="BR151" s="248"/>
      <c r="BS151" s="248"/>
      <c r="BT151" s="248"/>
      <c r="BU151" s="248"/>
      <c r="BV151" s="247"/>
      <c r="BW151" s="235" t="e">
        <f>BO151*BV$130</f>
        <v>#REF!</v>
      </c>
      <c r="BY151" s="167"/>
      <c r="BZ151" s="320"/>
      <c r="CA151" s="320"/>
      <c r="CB151" s="320"/>
      <c r="CC151" s="165"/>
      <c r="CD151" s="319">
        <f>SUM(BY151:CC151)</f>
        <v>0</v>
      </c>
      <c r="CE151" s="183">
        <v>1</v>
      </c>
      <c r="CF151" s="318">
        <f>$G151*CD151*CE151</f>
        <v>0</v>
      </c>
      <c r="CG151" s="249"/>
      <c r="CH151" s="248"/>
      <c r="CI151" s="248"/>
      <c r="CJ151" s="248"/>
      <c r="CK151" s="248"/>
      <c r="CL151" s="248"/>
      <c r="CM151" s="247"/>
      <c r="CN151" s="235" t="e">
        <f>CF151*CM$130</f>
        <v>#REF!</v>
      </c>
      <c r="CP151" s="6"/>
      <c r="CQ151" s="234">
        <f>SUMIF(I$1:CO$1,1,I151:CO151)</f>
        <v>0</v>
      </c>
      <c r="CR151" s="6"/>
      <c r="CS151" s="233" t="e">
        <f>SUMIF(I$1:CO$1,2,I151:CO151)</f>
        <v>#REF!</v>
      </c>
      <c r="CU151" s="233">
        <f>SUMIF(I$1:CO$1,3,I151:CO151)</f>
        <v>0</v>
      </c>
      <c r="CW151" s="270"/>
      <c r="CX151" s="270"/>
    </row>
    <row r="152" spans="1:102" ht="15" customHeight="1" x14ac:dyDescent="0.25">
      <c r="A152" s="307"/>
      <c r="B152" s="325"/>
      <c r="C152" s="72" t="s">
        <v>311</v>
      </c>
      <c r="D152" s="265" t="s">
        <v>310</v>
      </c>
      <c r="E152" s="72" t="s">
        <v>232</v>
      </c>
      <c r="F152" s="263">
        <f>((0.0175*(1.014*1.012*1.015)*1.1/1.17)*1.028)*(1.058)</f>
        <v>1.8638380099005335E-2</v>
      </c>
      <c r="G152" s="262">
        <f>F152*$G$1</f>
        <v>0</v>
      </c>
      <c r="I152" s="172"/>
      <c r="J152" s="294"/>
      <c r="K152" s="294"/>
      <c r="L152" s="294"/>
      <c r="M152" s="322"/>
      <c r="N152" s="321">
        <f>SUM(I152:M152)</f>
        <v>0</v>
      </c>
      <c r="O152" s="183">
        <v>1</v>
      </c>
      <c r="P152" s="318"/>
      <c r="Q152" s="249"/>
      <c r="R152" s="248"/>
      <c r="S152" s="248"/>
      <c r="T152" s="248"/>
      <c r="U152" s="248"/>
      <c r="V152" s="248"/>
      <c r="W152" s="247"/>
      <c r="X152" s="235">
        <f>P152*W$130</f>
        <v>0</v>
      </c>
      <c r="Z152" s="172"/>
      <c r="AA152" s="171"/>
      <c r="AB152" s="171"/>
      <c r="AC152" s="171"/>
      <c r="AD152" s="170"/>
      <c r="AE152" s="321">
        <f>SUM(Z152:AD152)</f>
        <v>0</v>
      </c>
      <c r="AF152" s="183">
        <v>1</v>
      </c>
      <c r="AG152" s="318"/>
      <c r="AH152" s="249"/>
      <c r="AI152" s="248"/>
      <c r="AJ152" s="248"/>
      <c r="AK152" s="248"/>
      <c r="AL152" s="248"/>
      <c r="AM152" s="248"/>
      <c r="AN152" s="247"/>
      <c r="AO152" s="235">
        <f>AG152*AN$130</f>
        <v>0</v>
      </c>
      <c r="AQ152" s="172"/>
      <c r="AR152" s="294"/>
      <c r="AS152" s="294"/>
      <c r="AT152" s="294"/>
      <c r="AU152" s="242"/>
      <c r="AV152" s="317">
        <f>SUM(AQ152:AU152)</f>
        <v>0</v>
      </c>
      <c r="AW152" s="183">
        <v>1</v>
      </c>
      <c r="AX152" s="318"/>
      <c r="AY152" s="249"/>
      <c r="AZ152" s="248"/>
      <c r="BA152" s="248"/>
      <c r="BB152" s="248"/>
      <c r="BC152" s="248"/>
      <c r="BD152" s="248"/>
      <c r="BE152" s="247"/>
      <c r="BF152" s="235"/>
      <c r="BH152" s="341"/>
      <c r="BI152" s="351"/>
      <c r="BJ152" s="351"/>
      <c r="BK152" s="351"/>
      <c r="BL152" s="350"/>
      <c r="BM152" s="319">
        <f>SUM(BH152:BL152)</f>
        <v>0</v>
      </c>
      <c r="BN152" s="183">
        <v>1</v>
      </c>
      <c r="BO152" s="318">
        <f>$G152*BM152*BN152</f>
        <v>0</v>
      </c>
      <c r="BP152" s="249"/>
      <c r="BQ152" s="248"/>
      <c r="BR152" s="248"/>
      <c r="BS152" s="248"/>
      <c r="BT152" s="248"/>
      <c r="BU152" s="248"/>
      <c r="BV152" s="247"/>
      <c r="BW152" s="235" t="e">
        <f>BO152*BV$130</f>
        <v>#REF!</v>
      </c>
      <c r="BY152" s="341"/>
      <c r="BZ152" s="351"/>
      <c r="CA152" s="351"/>
      <c r="CB152" s="351"/>
      <c r="CC152" s="350"/>
      <c r="CD152" s="319">
        <f>SUM(BY152:CC152)</f>
        <v>0</v>
      </c>
      <c r="CE152" s="183">
        <v>1</v>
      </c>
      <c r="CF152" s="318">
        <f>$G152*CD152*CE152</f>
        <v>0</v>
      </c>
      <c r="CG152" s="249"/>
      <c r="CH152" s="248"/>
      <c r="CI152" s="248"/>
      <c r="CJ152" s="248"/>
      <c r="CK152" s="248"/>
      <c r="CL152" s="248"/>
      <c r="CM152" s="247"/>
      <c r="CN152" s="235" t="e">
        <f>CF152*CM$130</f>
        <v>#REF!</v>
      </c>
      <c r="CP152" s="6"/>
      <c r="CQ152" s="234">
        <f>SUMIF(I$1:CO$1,1,I152:CO152)</f>
        <v>0</v>
      </c>
      <c r="CR152" s="6"/>
      <c r="CS152" s="233" t="e">
        <f>SUMIF(I$1:CO$1,2,I152:CO152)</f>
        <v>#REF!</v>
      </c>
      <c r="CU152" s="233">
        <f>SUMIF(I$1:CO$1,3,I152:CO152)</f>
        <v>0</v>
      </c>
      <c r="CW152" s="270"/>
      <c r="CX152" s="270"/>
    </row>
    <row r="153" spans="1:102" ht="15" customHeight="1" x14ac:dyDescent="0.25">
      <c r="A153" s="307"/>
      <c r="B153" s="257" t="s">
        <v>178</v>
      </c>
      <c r="C153" s="72" t="s">
        <v>43</v>
      </c>
      <c r="D153" s="255" t="s">
        <v>175</v>
      </c>
      <c r="E153" s="254"/>
      <c r="F153" s="308"/>
      <c r="G153" s="308">
        <f>F153</f>
        <v>0</v>
      </c>
      <c r="I153" s="344"/>
      <c r="J153" s="343"/>
      <c r="K153" s="343"/>
      <c r="L153" s="343"/>
      <c r="M153" s="347"/>
      <c r="N153" s="243">
        <f>SUM(I153:M153)</f>
        <v>0</v>
      </c>
      <c r="O153" s="349">
        <v>1</v>
      </c>
      <c r="P153" s="235"/>
      <c r="Q153" s="249"/>
      <c r="R153" s="248"/>
      <c r="S153" s="248"/>
      <c r="T153" s="248"/>
      <c r="U153" s="248"/>
      <c r="V153" s="248"/>
      <c r="W153" s="247"/>
      <c r="X153" s="235">
        <f>P153*W$130</f>
        <v>0</v>
      </c>
      <c r="Z153" s="344"/>
      <c r="AA153" s="346"/>
      <c r="AB153" s="346"/>
      <c r="AC153" s="346"/>
      <c r="AD153" s="345"/>
      <c r="AE153" s="243">
        <f>SUM(Z153:AD153)</f>
        <v>0</v>
      </c>
      <c r="AF153" s="349">
        <v>1</v>
      </c>
      <c r="AG153" s="235"/>
      <c r="AH153" s="249"/>
      <c r="AI153" s="248"/>
      <c r="AJ153" s="248"/>
      <c r="AK153" s="248"/>
      <c r="AL153" s="248"/>
      <c r="AM153" s="248"/>
      <c r="AN153" s="247"/>
      <c r="AO153" s="235">
        <f>AG153*AN$130</f>
        <v>0</v>
      </c>
      <c r="AQ153" s="344"/>
      <c r="AR153" s="343"/>
      <c r="AS153" s="343"/>
      <c r="AT153" s="343"/>
      <c r="AU153" s="342"/>
      <c r="AV153" s="241">
        <f>SUM(AQ153:AU153)</f>
        <v>0</v>
      </c>
      <c r="AW153" s="349">
        <v>1</v>
      </c>
      <c r="AX153" s="235"/>
      <c r="AY153" s="249"/>
      <c r="AZ153" s="248"/>
      <c r="BA153" s="248"/>
      <c r="BB153" s="248"/>
      <c r="BC153" s="248"/>
      <c r="BD153" s="248"/>
      <c r="BE153" s="247"/>
      <c r="BF153" s="235"/>
      <c r="BH153" s="341"/>
      <c r="BI153" s="339"/>
      <c r="BJ153" s="339"/>
      <c r="BK153" s="339"/>
      <c r="BL153" s="338"/>
      <c r="BM153" s="240">
        <f>SUM(BH153:BL153)</f>
        <v>0</v>
      </c>
      <c r="BN153" s="349">
        <v>1</v>
      </c>
      <c r="BO153" s="235">
        <f>$G153*BM153*BN153</f>
        <v>0</v>
      </c>
      <c r="BP153" s="249"/>
      <c r="BQ153" s="248"/>
      <c r="BR153" s="248"/>
      <c r="BS153" s="248"/>
      <c r="BT153" s="248"/>
      <c r="BU153" s="248"/>
      <c r="BV153" s="247"/>
      <c r="BW153" s="235" t="e">
        <f>BO153*BV$130</f>
        <v>#REF!</v>
      </c>
      <c r="BY153" s="340"/>
      <c r="BZ153" s="339"/>
      <c r="CA153" s="339"/>
      <c r="CB153" s="339"/>
      <c r="CC153" s="338"/>
      <c r="CD153" s="240">
        <f>SUM(BY153:CC153)</f>
        <v>0</v>
      </c>
      <c r="CE153" s="349">
        <v>1</v>
      </c>
      <c r="CF153" s="235">
        <f>$G153*CD153*CE153</f>
        <v>0</v>
      </c>
      <c r="CG153" s="249"/>
      <c r="CH153" s="248"/>
      <c r="CI153" s="248"/>
      <c r="CJ153" s="248"/>
      <c r="CK153" s="248"/>
      <c r="CL153" s="248"/>
      <c r="CM153" s="247"/>
      <c r="CN153" s="235" t="e">
        <f>CF153*CM$130</f>
        <v>#REF!</v>
      </c>
      <c r="CP153" s="6"/>
      <c r="CQ153" s="234">
        <f>SUMIF(I$1:CO$1,1,I153:CO153)</f>
        <v>0</v>
      </c>
      <c r="CR153" s="6"/>
      <c r="CS153" s="233" t="e">
        <f>SUMIF(I$1:CO$1,2,I153:CO153)</f>
        <v>#REF!</v>
      </c>
      <c r="CU153" s="233">
        <f>SUMIF(I$1:CO$1,3,I153:CO153)</f>
        <v>0</v>
      </c>
      <c r="CW153" s="270"/>
      <c r="CX153" s="270"/>
    </row>
    <row r="154" spans="1:102" ht="15" customHeight="1" x14ac:dyDescent="0.25">
      <c r="A154" s="307"/>
      <c r="B154" s="244"/>
      <c r="C154" s="72" t="s">
        <v>42</v>
      </c>
      <c r="D154" s="255" t="s">
        <v>175</v>
      </c>
      <c r="E154" s="254"/>
      <c r="F154" s="308"/>
      <c r="G154" s="308">
        <f>F154</f>
        <v>0</v>
      </c>
      <c r="I154" s="344"/>
      <c r="J154" s="343"/>
      <c r="K154" s="343"/>
      <c r="L154" s="343"/>
      <c r="M154" s="347"/>
      <c r="N154" s="321">
        <f>SUM(I154:M154)</f>
        <v>0</v>
      </c>
      <c r="O154" s="348">
        <v>1</v>
      </c>
      <c r="P154" s="318"/>
      <c r="Q154" s="249"/>
      <c r="R154" s="248"/>
      <c r="S154" s="248"/>
      <c r="T154" s="248"/>
      <c r="U154" s="248"/>
      <c r="V154" s="248"/>
      <c r="W154" s="247"/>
      <c r="X154" s="235">
        <f>P154*W$130</f>
        <v>0</v>
      </c>
      <c r="Z154" s="344"/>
      <c r="AA154" s="346"/>
      <c r="AB154" s="346"/>
      <c r="AC154" s="346"/>
      <c r="AD154" s="345"/>
      <c r="AE154" s="321">
        <f>SUM(Z154:AD154)</f>
        <v>0</v>
      </c>
      <c r="AF154" s="348">
        <v>1</v>
      </c>
      <c r="AG154" s="318"/>
      <c r="AH154" s="249"/>
      <c r="AI154" s="248"/>
      <c r="AJ154" s="248"/>
      <c r="AK154" s="248"/>
      <c r="AL154" s="248"/>
      <c r="AM154" s="248"/>
      <c r="AN154" s="247"/>
      <c r="AO154" s="235">
        <f>AG154*AN$130</f>
        <v>0</v>
      </c>
      <c r="AQ154" s="344"/>
      <c r="AR154" s="343"/>
      <c r="AS154" s="343"/>
      <c r="AT154" s="343"/>
      <c r="AU154" s="342"/>
      <c r="AV154" s="317">
        <f>SUM(AQ154:AU154)</f>
        <v>0</v>
      </c>
      <c r="AW154" s="348">
        <v>1</v>
      </c>
      <c r="AX154" s="318"/>
      <c r="AY154" s="249"/>
      <c r="AZ154" s="248"/>
      <c r="BA154" s="248"/>
      <c r="BB154" s="248"/>
      <c r="BC154" s="248"/>
      <c r="BD154" s="248"/>
      <c r="BE154" s="247"/>
      <c r="BF154" s="235"/>
      <c r="BH154" s="341"/>
      <c r="BI154" s="339"/>
      <c r="BJ154" s="339"/>
      <c r="BK154" s="339"/>
      <c r="BL154" s="338"/>
      <c r="BM154" s="319">
        <f>SUM(BH154:BL154)</f>
        <v>0</v>
      </c>
      <c r="BN154" s="348">
        <v>1</v>
      </c>
      <c r="BO154" s="318">
        <f>$G154*BM154*BN154</f>
        <v>0</v>
      </c>
      <c r="BP154" s="249"/>
      <c r="BQ154" s="248"/>
      <c r="BR154" s="248"/>
      <c r="BS154" s="248"/>
      <c r="BT154" s="248"/>
      <c r="BU154" s="248"/>
      <c r="BV154" s="247"/>
      <c r="BW154" s="235" t="e">
        <f>BO154*BV$130</f>
        <v>#REF!</v>
      </c>
      <c r="BY154" s="340"/>
      <c r="BZ154" s="339"/>
      <c r="CA154" s="339"/>
      <c r="CB154" s="339"/>
      <c r="CC154" s="338"/>
      <c r="CD154" s="319">
        <f>SUM(BY154:CC154)</f>
        <v>0</v>
      </c>
      <c r="CE154" s="348">
        <v>1</v>
      </c>
      <c r="CF154" s="318">
        <f>$G154*CD154*CE154</f>
        <v>0</v>
      </c>
      <c r="CG154" s="249"/>
      <c r="CH154" s="248"/>
      <c r="CI154" s="248"/>
      <c r="CJ154" s="248"/>
      <c r="CK154" s="248"/>
      <c r="CL154" s="248"/>
      <c r="CM154" s="247"/>
      <c r="CN154" s="235" t="e">
        <f>CF154*CM$130</f>
        <v>#REF!</v>
      </c>
      <c r="CP154" s="6"/>
      <c r="CQ154" s="234">
        <f>SUMIF(I$1:CO$1,1,I154:CO154)</f>
        <v>0</v>
      </c>
      <c r="CR154" s="6"/>
      <c r="CS154" s="233" t="e">
        <f>SUMIF(I$1:CO$1,2,I154:CO154)</f>
        <v>#REF!</v>
      </c>
      <c r="CU154" s="233">
        <f>SUMIF(I$1:CO$1,3,I154:CO154)</f>
        <v>0</v>
      </c>
      <c r="CW154" s="270"/>
      <c r="CX154" s="270"/>
    </row>
    <row r="155" spans="1:102" s="195" customFormat="1" ht="15" customHeight="1" x14ac:dyDescent="0.25">
      <c r="A155" s="307"/>
      <c r="B155" s="244"/>
      <c r="C155" s="72" t="s">
        <v>41</v>
      </c>
      <c r="D155" s="255" t="s">
        <v>175</v>
      </c>
      <c r="E155" s="254"/>
      <c r="F155" s="308"/>
      <c r="G155" s="308">
        <f>F155</f>
        <v>0</v>
      </c>
      <c r="H155" s="1"/>
      <c r="I155" s="344"/>
      <c r="J155" s="343"/>
      <c r="K155" s="343"/>
      <c r="L155" s="343"/>
      <c r="M155" s="347"/>
      <c r="N155" s="321">
        <f>SUM(I155:M155)</f>
        <v>0</v>
      </c>
      <c r="O155" s="348">
        <v>1</v>
      </c>
      <c r="P155" s="318"/>
      <c r="Q155" s="249"/>
      <c r="R155" s="248"/>
      <c r="S155" s="248"/>
      <c r="T155" s="248"/>
      <c r="U155" s="248"/>
      <c r="V155" s="248"/>
      <c r="W155" s="247"/>
      <c r="X155" s="235">
        <f>P155*W$130</f>
        <v>0</v>
      </c>
      <c r="Y155" s="1"/>
      <c r="Z155" s="344"/>
      <c r="AA155" s="346"/>
      <c r="AB155" s="346"/>
      <c r="AC155" s="346"/>
      <c r="AD155" s="345"/>
      <c r="AE155" s="321">
        <f>SUM(Z155:AD155)</f>
        <v>0</v>
      </c>
      <c r="AF155" s="348">
        <v>1</v>
      </c>
      <c r="AG155" s="318"/>
      <c r="AH155" s="249"/>
      <c r="AI155" s="248"/>
      <c r="AJ155" s="248"/>
      <c r="AK155" s="248"/>
      <c r="AL155" s="248"/>
      <c r="AM155" s="248"/>
      <c r="AN155" s="247"/>
      <c r="AO155" s="235">
        <f>AG155*AN$130</f>
        <v>0</v>
      </c>
      <c r="AP155" s="1"/>
      <c r="AQ155" s="344"/>
      <c r="AR155" s="343"/>
      <c r="AS155" s="343"/>
      <c r="AT155" s="343"/>
      <c r="AU155" s="342"/>
      <c r="AV155" s="317">
        <f>SUM(AQ155:AU155)</f>
        <v>0</v>
      </c>
      <c r="AW155" s="348">
        <v>1</v>
      </c>
      <c r="AX155" s="318"/>
      <c r="AY155" s="249"/>
      <c r="AZ155" s="248"/>
      <c r="BA155" s="248"/>
      <c r="BB155" s="248"/>
      <c r="BC155" s="248"/>
      <c r="BD155" s="248"/>
      <c r="BE155" s="247"/>
      <c r="BF155" s="235"/>
      <c r="BG155" s="1"/>
      <c r="BH155" s="341"/>
      <c r="BI155" s="339"/>
      <c r="BJ155" s="339"/>
      <c r="BK155" s="339"/>
      <c r="BL155" s="338"/>
      <c r="BM155" s="319">
        <f>SUM(BH155:BL155)</f>
        <v>0</v>
      </c>
      <c r="BN155" s="348">
        <v>1</v>
      </c>
      <c r="BO155" s="318">
        <f>$G155*BM155*BN155</f>
        <v>0</v>
      </c>
      <c r="BP155" s="249"/>
      <c r="BQ155" s="248"/>
      <c r="BR155" s="248"/>
      <c r="BS155" s="248"/>
      <c r="BT155" s="248"/>
      <c r="BU155" s="248"/>
      <c r="BV155" s="247"/>
      <c r="BW155" s="235" t="e">
        <f>BO155*BV$130</f>
        <v>#REF!</v>
      </c>
      <c r="BX155" s="1"/>
      <c r="BY155" s="340"/>
      <c r="BZ155" s="339"/>
      <c r="CA155" s="339"/>
      <c r="CB155" s="339"/>
      <c r="CC155" s="338"/>
      <c r="CD155" s="319">
        <f>SUM(BY155:CC155)</f>
        <v>0</v>
      </c>
      <c r="CE155" s="348">
        <v>1</v>
      </c>
      <c r="CF155" s="318">
        <f>$G155*CD155*CE155</f>
        <v>0</v>
      </c>
      <c r="CG155" s="249"/>
      <c r="CH155" s="248"/>
      <c r="CI155" s="248"/>
      <c r="CJ155" s="248"/>
      <c r="CK155" s="248"/>
      <c r="CL155" s="248"/>
      <c r="CM155" s="247"/>
      <c r="CN155" s="235" t="e">
        <f>CF155*CM$130</f>
        <v>#REF!</v>
      </c>
      <c r="CO155" s="1"/>
      <c r="CP155" s="6"/>
      <c r="CQ155" s="234">
        <f>SUMIF(I$1:CO$1,1,I155:CO155)</f>
        <v>0</v>
      </c>
      <c r="CR155" s="198"/>
      <c r="CS155" s="233" t="e">
        <f>SUMIF(I$1:CO$1,2,I155:CO155)</f>
        <v>#REF!</v>
      </c>
      <c r="CU155" s="233">
        <f>SUMIF(I$1:CO$1,3,I155:CO155)</f>
        <v>0</v>
      </c>
      <c r="CW155" s="270"/>
      <c r="CX155" s="270"/>
    </row>
    <row r="156" spans="1:102" s="195" customFormat="1" ht="15" customHeight="1" x14ac:dyDescent="0.25">
      <c r="A156" s="307"/>
      <c r="B156" s="244"/>
      <c r="C156" s="72" t="s">
        <v>40</v>
      </c>
      <c r="D156" s="252" t="s">
        <v>173</v>
      </c>
      <c r="E156" s="174" t="s">
        <v>106</v>
      </c>
      <c r="F156" s="292"/>
      <c r="G156" s="292">
        <f>F156</f>
        <v>0</v>
      </c>
      <c r="H156" s="1"/>
      <c r="I156" s="344"/>
      <c r="J156" s="343"/>
      <c r="K156" s="343"/>
      <c r="L156" s="343"/>
      <c r="M156" s="347"/>
      <c r="N156" s="243"/>
      <c r="O156" s="239"/>
      <c r="P156" s="235"/>
      <c r="Q156" s="249"/>
      <c r="R156" s="248"/>
      <c r="S156" s="248"/>
      <c r="T156" s="248"/>
      <c r="U156" s="248"/>
      <c r="V156" s="248"/>
      <c r="W156" s="247"/>
      <c r="X156" s="235">
        <f>P156*W$130</f>
        <v>0</v>
      </c>
      <c r="Y156" s="1"/>
      <c r="Z156" s="344"/>
      <c r="AA156" s="346"/>
      <c r="AB156" s="346"/>
      <c r="AC156" s="346"/>
      <c r="AD156" s="345"/>
      <c r="AE156" s="243"/>
      <c r="AF156" s="239"/>
      <c r="AG156" s="235"/>
      <c r="AH156" s="249"/>
      <c r="AI156" s="248"/>
      <c r="AJ156" s="248"/>
      <c r="AK156" s="248"/>
      <c r="AL156" s="248"/>
      <c r="AM156" s="248"/>
      <c r="AN156" s="247"/>
      <c r="AO156" s="235">
        <f>AG156*AN$130</f>
        <v>0</v>
      </c>
      <c r="AP156" s="1"/>
      <c r="AQ156" s="344"/>
      <c r="AR156" s="343"/>
      <c r="AS156" s="343"/>
      <c r="AT156" s="343"/>
      <c r="AU156" s="342"/>
      <c r="AV156" s="241"/>
      <c r="AW156" s="239"/>
      <c r="AX156" s="235"/>
      <c r="AY156" s="249"/>
      <c r="AZ156" s="248"/>
      <c r="BA156" s="248"/>
      <c r="BB156" s="248"/>
      <c r="BC156" s="248"/>
      <c r="BD156" s="248"/>
      <c r="BE156" s="247"/>
      <c r="BF156" s="235"/>
      <c r="BG156" s="1"/>
      <c r="BH156" s="341"/>
      <c r="BI156" s="339"/>
      <c r="BJ156" s="339"/>
      <c r="BK156" s="339"/>
      <c r="BL156" s="338"/>
      <c r="BM156" s="240"/>
      <c r="BN156" s="239"/>
      <c r="BO156" s="235">
        <f>SUM(BH156:BL156)</f>
        <v>0</v>
      </c>
      <c r="BP156" s="249"/>
      <c r="BQ156" s="248"/>
      <c r="BR156" s="248"/>
      <c r="BS156" s="248"/>
      <c r="BT156" s="248"/>
      <c r="BU156" s="248"/>
      <c r="BV156" s="247"/>
      <c r="BW156" s="235" t="e">
        <f>BO156*BV$130</f>
        <v>#REF!</v>
      </c>
      <c r="BX156" s="1"/>
      <c r="BY156" s="340"/>
      <c r="BZ156" s="339"/>
      <c r="CA156" s="339"/>
      <c r="CB156" s="339"/>
      <c r="CC156" s="338"/>
      <c r="CD156" s="240"/>
      <c r="CE156" s="239"/>
      <c r="CF156" s="235">
        <f>SUM(BY156:CC156)</f>
        <v>0</v>
      </c>
      <c r="CG156" s="249"/>
      <c r="CH156" s="248"/>
      <c r="CI156" s="248"/>
      <c r="CJ156" s="248"/>
      <c r="CK156" s="248"/>
      <c r="CL156" s="248"/>
      <c r="CM156" s="247"/>
      <c r="CN156" s="235" t="e">
        <f>CF156*CM$130</f>
        <v>#REF!</v>
      </c>
      <c r="CO156" s="1"/>
      <c r="CP156" s="198"/>
      <c r="CQ156" s="234">
        <f>SUMIF(I$1:CO$1,1,I156:CO156)</f>
        <v>0</v>
      </c>
      <c r="CR156" s="198"/>
      <c r="CS156" s="233" t="e">
        <f>SUMIF(I$1:CO$1,2,I156:CO156)</f>
        <v>#REF!</v>
      </c>
      <c r="CU156" s="233">
        <f>SUMIF(I$1:CO$1,3,I156:CO156)</f>
        <v>0</v>
      </c>
      <c r="CW156" s="270"/>
      <c r="CX156" s="270"/>
    </row>
    <row r="157" spans="1:102" s="195" customFormat="1" ht="15" customHeight="1" x14ac:dyDescent="0.25">
      <c r="A157" s="307"/>
      <c r="B157" s="244"/>
      <c r="C157" s="72" t="s">
        <v>39</v>
      </c>
      <c r="D157" s="324" t="s">
        <v>173</v>
      </c>
      <c r="E157" s="174" t="s">
        <v>106</v>
      </c>
      <c r="F157" s="292"/>
      <c r="G157" s="292">
        <f>F157</f>
        <v>0</v>
      </c>
      <c r="H157" s="1"/>
      <c r="I157" s="172"/>
      <c r="J157" s="171"/>
      <c r="K157" s="171"/>
      <c r="L157" s="171"/>
      <c r="M157" s="170"/>
      <c r="N157" s="243"/>
      <c r="O157" s="239"/>
      <c r="P157" s="235"/>
      <c r="Q157" s="238"/>
      <c r="R157" s="237"/>
      <c r="S157" s="237"/>
      <c r="T157" s="237"/>
      <c r="U157" s="237"/>
      <c r="V157" s="237"/>
      <c r="W157" s="236"/>
      <c r="X157" s="235">
        <f>P157*W$130</f>
        <v>0</v>
      </c>
      <c r="Y157" s="1"/>
      <c r="Z157" s="172"/>
      <c r="AA157" s="171"/>
      <c r="AB157" s="171"/>
      <c r="AC157" s="171"/>
      <c r="AD157" s="170"/>
      <c r="AE157" s="243"/>
      <c r="AF157" s="239"/>
      <c r="AG157" s="235"/>
      <c r="AH157" s="238"/>
      <c r="AI157" s="237"/>
      <c r="AJ157" s="237"/>
      <c r="AK157" s="237"/>
      <c r="AL157" s="237"/>
      <c r="AM157" s="237"/>
      <c r="AN157" s="236"/>
      <c r="AO157" s="235">
        <f>AG157*AN$130</f>
        <v>0</v>
      </c>
      <c r="AP157" s="1"/>
      <c r="AQ157" s="172"/>
      <c r="AR157" s="294"/>
      <c r="AS157" s="171"/>
      <c r="AT157" s="171"/>
      <c r="AU157" s="242"/>
      <c r="AV157" s="241"/>
      <c r="AW157" s="239"/>
      <c r="AX157" s="235"/>
      <c r="AY157" s="238"/>
      <c r="AZ157" s="237"/>
      <c r="BA157" s="237"/>
      <c r="BB157" s="237"/>
      <c r="BC157" s="237"/>
      <c r="BD157" s="237"/>
      <c r="BE157" s="236"/>
      <c r="BF157" s="235"/>
      <c r="BG157" s="1"/>
      <c r="BH157" s="167"/>
      <c r="BI157" s="166"/>
      <c r="BJ157" s="166"/>
      <c r="BK157" s="166"/>
      <c r="BL157" s="165"/>
      <c r="BM157" s="240"/>
      <c r="BN157" s="239"/>
      <c r="BO157" s="235">
        <f>SUM(BH157:BL157)</f>
        <v>0</v>
      </c>
      <c r="BP157" s="238"/>
      <c r="BQ157" s="237"/>
      <c r="BR157" s="237"/>
      <c r="BS157" s="237"/>
      <c r="BT157" s="237"/>
      <c r="BU157" s="237"/>
      <c r="BV157" s="236"/>
      <c r="BW157" s="235" t="e">
        <f>BO157*BV$130</f>
        <v>#REF!</v>
      </c>
      <c r="BX157" s="1"/>
      <c r="BY157" s="167"/>
      <c r="BZ157" s="166"/>
      <c r="CA157" s="166"/>
      <c r="CB157" s="166"/>
      <c r="CC157" s="165"/>
      <c r="CD157" s="240"/>
      <c r="CE157" s="239"/>
      <c r="CF157" s="235">
        <f>SUM(BY157:CC157)</f>
        <v>0</v>
      </c>
      <c r="CG157" s="238"/>
      <c r="CH157" s="237"/>
      <c r="CI157" s="237"/>
      <c r="CJ157" s="237"/>
      <c r="CK157" s="237"/>
      <c r="CL157" s="237"/>
      <c r="CM157" s="236"/>
      <c r="CN157" s="235" t="e">
        <f>CF157*CM$130</f>
        <v>#REF!</v>
      </c>
      <c r="CO157" s="1"/>
      <c r="CP157" s="6"/>
      <c r="CQ157" s="234">
        <f>SUMIF(I$1:CO$1,1,I157:CO157)</f>
        <v>0</v>
      </c>
      <c r="CR157" s="198"/>
      <c r="CS157" s="233" t="e">
        <f>SUMIF(I$1:CO$1,2,I157:CO157)</f>
        <v>#REF!</v>
      </c>
      <c r="CU157" s="233">
        <f>SUMIF(I$1:CO$1,3,I157:CO157)</f>
        <v>0</v>
      </c>
      <c r="CW157" s="270"/>
      <c r="CX157" s="270"/>
    </row>
    <row r="158" spans="1:102" ht="15" customHeight="1" thickBot="1" x14ac:dyDescent="0.3">
      <c r="A158" s="306"/>
      <c r="B158" s="231"/>
      <c r="C158" s="229"/>
      <c r="D158" s="230" t="s">
        <v>148</v>
      </c>
      <c r="E158" s="229"/>
      <c r="F158" s="289"/>
      <c r="G158" s="289"/>
      <c r="I158" s="227"/>
      <c r="J158" s="226"/>
      <c r="K158" s="226"/>
      <c r="L158" s="226"/>
      <c r="M158" s="225"/>
      <c r="N158" s="224"/>
      <c r="O158" s="218"/>
      <c r="P158" s="217"/>
      <c r="Q158" s="219"/>
      <c r="R158" s="219"/>
      <c r="S158" s="219"/>
      <c r="T158" s="219"/>
      <c r="U158" s="219"/>
      <c r="V158" s="219"/>
      <c r="W158" s="218"/>
      <c r="X158" s="217">
        <f>SUM(X130:X157)</f>
        <v>0</v>
      </c>
      <c r="Z158" s="304"/>
      <c r="AA158" s="305"/>
      <c r="AB158" s="305"/>
      <c r="AC158" s="305"/>
      <c r="AD158" s="289"/>
      <c r="AE158" s="224"/>
      <c r="AF158" s="218"/>
      <c r="AG158" s="217"/>
      <c r="AH158" s="219"/>
      <c r="AI158" s="219"/>
      <c r="AJ158" s="219"/>
      <c r="AK158" s="219"/>
      <c r="AL158" s="219"/>
      <c r="AM158" s="219"/>
      <c r="AN158" s="218"/>
      <c r="AO158" s="217">
        <f>SUM(AO130:AO157)</f>
        <v>0</v>
      </c>
      <c r="AQ158" s="304"/>
      <c r="AR158" s="226"/>
      <c r="AS158" s="226"/>
      <c r="AT158" s="226"/>
      <c r="AU158" s="226"/>
      <c r="AV158" s="223"/>
      <c r="AW158" s="218"/>
      <c r="AX158" s="217"/>
      <c r="AY158" s="219"/>
      <c r="AZ158" s="219"/>
      <c r="BA158" s="219"/>
      <c r="BB158" s="219"/>
      <c r="BC158" s="219"/>
      <c r="BD158" s="219"/>
      <c r="BE158" s="218"/>
      <c r="BF158" s="217"/>
      <c r="BH158" s="222"/>
      <c r="BI158" s="221"/>
      <c r="BJ158" s="221"/>
      <c r="BK158" s="221"/>
      <c r="BL158" s="221"/>
      <c r="BM158" s="220"/>
      <c r="BN158" s="218"/>
      <c r="BO158" s="217">
        <f>SUM(BO130:BO157)</f>
        <v>0</v>
      </c>
      <c r="BP158" s="219"/>
      <c r="BQ158" s="219"/>
      <c r="BR158" s="219"/>
      <c r="BS158" s="219"/>
      <c r="BT158" s="219"/>
      <c r="BU158" s="219"/>
      <c r="BV158" s="218"/>
      <c r="BW158" s="217" t="e">
        <f>SUM(BW130:BW157)</f>
        <v>#REF!</v>
      </c>
      <c r="BY158" s="222"/>
      <c r="BZ158" s="221"/>
      <c r="CA158" s="221"/>
      <c r="CB158" s="221"/>
      <c r="CC158" s="221"/>
      <c r="CD158" s="220"/>
      <c r="CE158" s="218"/>
      <c r="CF158" s="217">
        <f>SUM(CF130:CF157)</f>
        <v>0</v>
      </c>
      <c r="CG158" s="219"/>
      <c r="CH158" s="219"/>
      <c r="CI158" s="219"/>
      <c r="CJ158" s="219"/>
      <c r="CK158" s="219"/>
      <c r="CL158" s="219"/>
      <c r="CM158" s="218"/>
      <c r="CN158" s="217" t="e">
        <f>SUM(CN130:CN157)</f>
        <v>#REF!</v>
      </c>
      <c r="CP158" s="6"/>
      <c r="CQ158" s="139">
        <f>SUM(CQ130:CQ157)</f>
        <v>0</v>
      </c>
      <c r="CR158" s="6"/>
      <c r="CS158" s="139" t="e">
        <f>SUM(CS130:CS157)</f>
        <v>#REF!</v>
      </c>
      <c r="CU158" s="139"/>
      <c r="CW158" s="270"/>
      <c r="CX158" s="270"/>
    </row>
    <row r="159" spans="1:102" ht="15" customHeight="1" x14ac:dyDescent="0.25">
      <c r="A159" s="312" t="s">
        <v>309</v>
      </c>
      <c r="B159" s="336" t="s">
        <v>308</v>
      </c>
      <c r="C159" s="285" t="s">
        <v>307</v>
      </c>
      <c r="D159" s="286" t="s">
        <v>306</v>
      </c>
      <c r="E159" s="285" t="s">
        <v>303</v>
      </c>
      <c r="F159" s="316">
        <f>((7.5*(1.014*1.012*1.015)*1.1/1.12)*1.028)*(1.058)</f>
        <v>8.344478845345499</v>
      </c>
      <c r="G159" s="262">
        <f>F159*$G$1</f>
        <v>0</v>
      </c>
      <c r="I159" s="182"/>
      <c r="J159" s="181"/>
      <c r="K159" s="181">
        <v>3.3344060037398253</v>
      </c>
      <c r="L159" s="181"/>
      <c r="M159" s="180"/>
      <c r="N159" s="284">
        <f>SUM(I159:M159)</f>
        <v>3.3344060037398253</v>
      </c>
      <c r="O159" s="276">
        <v>1</v>
      </c>
      <c r="P159" s="272"/>
      <c r="Q159" s="275"/>
      <c r="R159" s="274"/>
      <c r="S159" s="274"/>
      <c r="T159" s="274"/>
      <c r="U159" s="274"/>
      <c r="V159" s="274"/>
      <c r="W159" s="273"/>
      <c r="X159" s="272">
        <f>P159*W$159</f>
        <v>0</v>
      </c>
      <c r="Z159" s="182">
        <v>0.11110499854848795</v>
      </c>
      <c r="AA159" s="181"/>
      <c r="AB159" s="181">
        <v>7.1282506795710146E-2</v>
      </c>
      <c r="AC159" s="181"/>
      <c r="AD159" s="180">
        <v>0.56438573424234084</v>
      </c>
      <c r="AE159" s="284">
        <f>SUM(Z159:AD159)</f>
        <v>0.74677323958653896</v>
      </c>
      <c r="AF159" s="276">
        <v>1</v>
      </c>
      <c r="AG159" s="272"/>
      <c r="AH159" s="275"/>
      <c r="AI159" s="274"/>
      <c r="AJ159" s="274"/>
      <c r="AK159" s="274"/>
      <c r="AL159" s="274"/>
      <c r="AM159" s="274"/>
      <c r="AN159" s="273"/>
      <c r="AO159" s="272">
        <f>AG159*AN$159</f>
        <v>0</v>
      </c>
      <c r="AQ159" s="182"/>
      <c r="AR159" s="301"/>
      <c r="AS159" s="181"/>
      <c r="AT159" s="181"/>
      <c r="AU159" s="282"/>
      <c r="AV159" s="281">
        <f>SUM(AQ159:AU159)</f>
        <v>0</v>
      </c>
      <c r="AW159" s="276">
        <v>1</v>
      </c>
      <c r="AX159" s="272"/>
      <c r="AY159" s="275"/>
      <c r="AZ159" s="274"/>
      <c r="BA159" s="274"/>
      <c r="BB159" s="274"/>
      <c r="BC159" s="274"/>
      <c r="BD159" s="274"/>
      <c r="BE159" s="273"/>
      <c r="BF159" s="272"/>
      <c r="BH159" s="179"/>
      <c r="BI159" s="178"/>
      <c r="BJ159" s="178"/>
      <c r="BK159" s="178"/>
      <c r="BL159" s="177"/>
      <c r="BM159" s="277">
        <f>SUM(BH159:BL159)</f>
        <v>0</v>
      </c>
      <c r="BN159" s="276">
        <v>1</v>
      </c>
      <c r="BO159" s="272">
        <f>$G159*BM159*BN159</f>
        <v>0</v>
      </c>
      <c r="BP159" s="275" t="e">
        <f>VLOOKUP(BP5,#REF!,10,FALSE)/100+1</f>
        <v>#REF!</v>
      </c>
      <c r="BQ159" s="274" t="e">
        <f>VLOOKUP(BQ5,#REF!,10,FALSE)/100+1</f>
        <v>#REF!</v>
      </c>
      <c r="BR159" s="274" t="e">
        <f>VLOOKUP(BR5,#REF!,10,FALSE)/100+1</f>
        <v>#REF!</v>
      </c>
      <c r="BS159" s="274" t="e">
        <f>VLOOKUP(BS5,#REF!,10,FALSE)/100+1</f>
        <v>#REF!</v>
      </c>
      <c r="BT159" s="274" t="e">
        <f>VLOOKUP(BT5,#REF!,10,FALSE)/100+1</f>
        <v>#REF!</v>
      </c>
      <c r="BU159" s="274" t="e">
        <f>VLOOKUP(BU5,#REF!,10,FALSE)/100+1</f>
        <v>#REF!</v>
      </c>
      <c r="BV159" s="273" t="e">
        <f>BP159*BQ159*BR159*BS159*BT159*BU159</f>
        <v>#REF!</v>
      </c>
      <c r="BW159" s="272" t="e">
        <f>BO159*BV$159</f>
        <v>#REF!</v>
      </c>
      <c r="BY159" s="179"/>
      <c r="BZ159" s="178"/>
      <c r="CA159" s="178"/>
      <c r="CB159" s="178"/>
      <c r="CC159" s="177"/>
      <c r="CD159" s="277">
        <f>SUM(BY159:CC159)</f>
        <v>0</v>
      </c>
      <c r="CE159" s="276">
        <v>1</v>
      </c>
      <c r="CF159" s="272">
        <f>$G159*CD159*CE159</f>
        <v>0</v>
      </c>
      <c r="CG159" s="275" t="e">
        <f>VLOOKUP(CG5,#REF!,10,FALSE)/100+1</f>
        <v>#REF!</v>
      </c>
      <c r="CH159" s="274" t="e">
        <f>VLOOKUP(CH5,#REF!,10,FALSE)/100+1</f>
        <v>#REF!</v>
      </c>
      <c r="CI159" s="274" t="e">
        <f>VLOOKUP(CI5,#REF!,10,FALSE)/100+1</f>
        <v>#REF!</v>
      </c>
      <c r="CJ159" s="274" t="e">
        <f>VLOOKUP(CJ5,#REF!,10,FALSE)/100+1</f>
        <v>#REF!</v>
      </c>
      <c r="CK159" s="274" t="e">
        <f>VLOOKUP(CK5,#REF!,10,FALSE)/100+1</f>
        <v>#REF!</v>
      </c>
      <c r="CL159" s="274" t="e">
        <f>VLOOKUP(CL5,#REF!,10,FALSE)/100+1</f>
        <v>#REF!</v>
      </c>
      <c r="CM159" s="273" t="e">
        <f>CG159*CH159*CI159*CJ159*CK159*CL159</f>
        <v>#REF!</v>
      </c>
      <c r="CN159" s="272" t="e">
        <f>CF159*CM$159</f>
        <v>#REF!</v>
      </c>
      <c r="CP159" s="198"/>
      <c r="CQ159" s="234">
        <f>SUMIF(I$1:CO$1,1,I159:CO159)</f>
        <v>0</v>
      </c>
      <c r="CR159" s="6"/>
      <c r="CS159" s="271" t="e">
        <f>SUMIF(I$1:CO$1,2,I159:CO159)</f>
        <v>#REF!</v>
      </c>
      <c r="CU159" s="271">
        <f>SUMIF(I$1:CO$1,3,I159:CO159)</f>
        <v>0.74677323958653896</v>
      </c>
      <c r="CW159" s="270"/>
      <c r="CX159" s="270"/>
    </row>
    <row r="160" spans="1:102" ht="15" customHeight="1" x14ac:dyDescent="0.25">
      <c r="A160" s="307"/>
      <c r="B160" s="325"/>
      <c r="C160" s="314" t="s">
        <v>305</v>
      </c>
      <c r="D160" s="315" t="s">
        <v>304</v>
      </c>
      <c r="E160" s="314" t="s">
        <v>303</v>
      </c>
      <c r="F160" s="313">
        <f>((1.2*(1.014*1.012*1.015)*1.1/1.12)*1.028)*(1.058)</f>
        <v>1.3351166152552798</v>
      </c>
      <c r="G160" s="262">
        <f>F160*$G$1</f>
        <v>0</v>
      </c>
      <c r="I160" s="172"/>
      <c r="J160" s="171"/>
      <c r="K160" s="171"/>
      <c r="L160" s="171">
        <v>0.63955909936506439</v>
      </c>
      <c r="M160" s="170">
        <v>4.0620188963516481</v>
      </c>
      <c r="N160" s="243">
        <f>SUM(I160:M160)</f>
        <v>4.701577995716713</v>
      </c>
      <c r="O160" s="183">
        <v>1</v>
      </c>
      <c r="P160" s="235"/>
      <c r="Q160" s="249"/>
      <c r="R160" s="248"/>
      <c r="S160" s="248"/>
      <c r="T160" s="248"/>
      <c r="U160" s="248"/>
      <c r="V160" s="248"/>
      <c r="W160" s="247"/>
      <c r="X160" s="235">
        <f>P160*W$159</f>
        <v>0</v>
      </c>
      <c r="Z160" s="172"/>
      <c r="AA160" s="171">
        <v>2.9927055092756993</v>
      </c>
      <c r="AB160" s="171"/>
      <c r="AC160" s="171">
        <v>3.7878396704942814</v>
      </c>
      <c r="AD160" s="170"/>
      <c r="AE160" s="243">
        <f>SUM(Z160:AD160)</f>
        <v>6.7805451797699803</v>
      </c>
      <c r="AF160" s="183">
        <v>1</v>
      </c>
      <c r="AG160" s="235"/>
      <c r="AH160" s="249"/>
      <c r="AI160" s="248"/>
      <c r="AJ160" s="248"/>
      <c r="AK160" s="248"/>
      <c r="AL160" s="248"/>
      <c r="AM160" s="248"/>
      <c r="AN160" s="247"/>
      <c r="AO160" s="235">
        <f>AG160*AN$159</f>
        <v>0</v>
      </c>
      <c r="AQ160" s="172">
        <v>6.7122545009197543</v>
      </c>
      <c r="AR160" s="294"/>
      <c r="AS160" s="171"/>
      <c r="AT160" s="171"/>
      <c r="AU160" s="242"/>
      <c r="AV160" s="241">
        <f>SUM(AQ160:AU160)</f>
        <v>6.7122545009197543</v>
      </c>
      <c r="AW160" s="183">
        <v>1</v>
      </c>
      <c r="AX160" s="235"/>
      <c r="AY160" s="249"/>
      <c r="AZ160" s="248"/>
      <c r="BA160" s="248"/>
      <c r="BB160" s="248"/>
      <c r="BC160" s="248"/>
      <c r="BD160" s="248"/>
      <c r="BE160" s="247"/>
      <c r="BF160" s="235"/>
      <c r="BH160" s="337"/>
      <c r="BI160" s="166"/>
      <c r="BJ160" s="166"/>
      <c r="BK160" s="166"/>
      <c r="BL160" s="165"/>
      <c r="BM160" s="240">
        <f>SUM(BH160:BL160)</f>
        <v>0</v>
      </c>
      <c r="BN160" s="183">
        <v>1</v>
      </c>
      <c r="BO160" s="235">
        <f>$G160*BM160*BN160</f>
        <v>0</v>
      </c>
      <c r="BP160" s="249"/>
      <c r="BQ160" s="248"/>
      <c r="BR160" s="248"/>
      <c r="BS160" s="248"/>
      <c r="BT160" s="248"/>
      <c r="BU160" s="248"/>
      <c r="BV160" s="247"/>
      <c r="BW160" s="235" t="e">
        <f>BO160*BV$159</f>
        <v>#REF!</v>
      </c>
      <c r="BY160" s="337"/>
      <c r="BZ160" s="166"/>
      <c r="CA160" s="166"/>
      <c r="CB160" s="166"/>
      <c r="CC160" s="165"/>
      <c r="CD160" s="240">
        <f>SUM(BY160:CC160)</f>
        <v>0</v>
      </c>
      <c r="CE160" s="183">
        <v>1</v>
      </c>
      <c r="CF160" s="235">
        <f>$G160*CD160*CE160</f>
        <v>0</v>
      </c>
      <c r="CG160" s="249"/>
      <c r="CH160" s="248"/>
      <c r="CI160" s="248"/>
      <c r="CJ160" s="248"/>
      <c r="CK160" s="248"/>
      <c r="CL160" s="248"/>
      <c r="CM160" s="247"/>
      <c r="CN160" s="235" t="e">
        <f>CF160*CM$159</f>
        <v>#REF!</v>
      </c>
      <c r="CP160" s="198"/>
      <c r="CQ160" s="234">
        <f>SUMIF(I$1:CO$1,1,I160:CO160)</f>
        <v>0</v>
      </c>
      <c r="CR160" s="6"/>
      <c r="CS160" s="233" t="e">
        <f>SUMIF(I$1:CO$1,2,I160:CO160)</f>
        <v>#REF!</v>
      </c>
      <c r="CU160" s="233">
        <f>SUMIF(I$1:CO$1,3,I160:CO160)</f>
        <v>13.492799680689735</v>
      </c>
      <c r="CW160" s="270"/>
      <c r="CX160" s="270"/>
    </row>
    <row r="161" spans="1:102" ht="15" customHeight="1" x14ac:dyDescent="0.25">
      <c r="A161" s="307"/>
      <c r="B161" s="257" t="s">
        <v>178</v>
      </c>
      <c r="C161" s="72" t="s">
        <v>38</v>
      </c>
      <c r="D161" s="255" t="s">
        <v>175</v>
      </c>
      <c r="E161" s="254"/>
      <c r="F161" s="308"/>
      <c r="G161" s="308">
        <f>F161</f>
        <v>0</v>
      </c>
      <c r="I161" s="172"/>
      <c r="J161" s="171"/>
      <c r="K161" s="171"/>
      <c r="L161" s="171"/>
      <c r="M161" s="170"/>
      <c r="N161" s="243">
        <f>SUM(I161:M161)</f>
        <v>0</v>
      </c>
      <c r="O161" s="183">
        <v>1</v>
      </c>
      <c r="P161" s="235"/>
      <c r="Q161" s="249"/>
      <c r="R161" s="248"/>
      <c r="S161" s="248"/>
      <c r="T161" s="248"/>
      <c r="U161" s="248"/>
      <c r="V161" s="248"/>
      <c r="W161" s="247"/>
      <c r="X161" s="235">
        <f>P161*W$159</f>
        <v>0</v>
      </c>
      <c r="Z161" s="172"/>
      <c r="AA161" s="171"/>
      <c r="AB161" s="171"/>
      <c r="AC161" s="171"/>
      <c r="AD161" s="170"/>
      <c r="AE161" s="243">
        <f>SUM(Z161:AD161)</f>
        <v>0</v>
      </c>
      <c r="AF161" s="183">
        <v>1</v>
      </c>
      <c r="AG161" s="235"/>
      <c r="AH161" s="249"/>
      <c r="AI161" s="248"/>
      <c r="AJ161" s="248"/>
      <c r="AK161" s="248"/>
      <c r="AL161" s="248"/>
      <c r="AM161" s="248"/>
      <c r="AN161" s="247"/>
      <c r="AO161" s="235">
        <f>AG161*AN$159</f>
        <v>0</v>
      </c>
      <c r="AQ161" s="172"/>
      <c r="AR161" s="294"/>
      <c r="AS161" s="171"/>
      <c r="AT161" s="171"/>
      <c r="AU161" s="242"/>
      <c r="AV161" s="241">
        <f>SUM(AQ161:AU161)</f>
        <v>0</v>
      </c>
      <c r="AW161" s="183">
        <v>1</v>
      </c>
      <c r="AX161" s="235"/>
      <c r="AY161" s="249"/>
      <c r="AZ161" s="248"/>
      <c r="BA161" s="248"/>
      <c r="BB161" s="248"/>
      <c r="BC161" s="248"/>
      <c r="BD161" s="248"/>
      <c r="BE161" s="247"/>
      <c r="BF161" s="235"/>
      <c r="BH161" s="167"/>
      <c r="BI161" s="166"/>
      <c r="BJ161" s="166"/>
      <c r="BK161" s="166"/>
      <c r="BL161" s="165"/>
      <c r="BM161" s="240">
        <f>SUM(BH161:BL161)</f>
        <v>0</v>
      </c>
      <c r="BN161" s="183">
        <v>1</v>
      </c>
      <c r="BO161" s="235">
        <f>$G161*BM161*BN161</f>
        <v>0</v>
      </c>
      <c r="BP161" s="249"/>
      <c r="BQ161" s="248"/>
      <c r="BR161" s="248"/>
      <c r="BS161" s="248"/>
      <c r="BT161" s="248"/>
      <c r="BU161" s="248"/>
      <c r="BV161" s="247"/>
      <c r="BW161" s="235" t="e">
        <f>BO161*BV$159</f>
        <v>#REF!</v>
      </c>
      <c r="BY161" s="167"/>
      <c r="BZ161" s="166"/>
      <c r="CA161" s="166"/>
      <c r="CB161" s="166"/>
      <c r="CC161" s="165"/>
      <c r="CD161" s="240">
        <f>SUM(BY161:CC161)</f>
        <v>0</v>
      </c>
      <c r="CE161" s="183">
        <v>1</v>
      </c>
      <c r="CF161" s="235">
        <f>$G161*CD161*CE161</f>
        <v>0</v>
      </c>
      <c r="CG161" s="249"/>
      <c r="CH161" s="248"/>
      <c r="CI161" s="248"/>
      <c r="CJ161" s="248"/>
      <c r="CK161" s="248"/>
      <c r="CL161" s="248"/>
      <c r="CM161" s="247"/>
      <c r="CN161" s="235" t="e">
        <f>CF161*CM$159</f>
        <v>#REF!</v>
      </c>
      <c r="CP161" s="198"/>
      <c r="CQ161" s="234">
        <f>SUMIF(I$1:CO$1,1,I161:CO161)</f>
        <v>0</v>
      </c>
      <c r="CR161" s="6"/>
      <c r="CS161" s="233" t="e">
        <f>SUMIF(I$1:CO$1,2,I161:CO161)</f>
        <v>#REF!</v>
      </c>
      <c r="CU161" s="233">
        <f>SUMIF(I$1:CO$1,3,I161:CO161)</f>
        <v>0</v>
      </c>
      <c r="CW161" s="270"/>
      <c r="CX161" s="270"/>
    </row>
    <row r="162" spans="1:102" ht="15" customHeight="1" x14ac:dyDescent="0.25">
      <c r="A162" s="307"/>
      <c r="B162" s="244"/>
      <c r="C162" s="72" t="s">
        <v>37</v>
      </c>
      <c r="D162" s="255" t="s">
        <v>175</v>
      </c>
      <c r="E162" s="254"/>
      <c r="F162" s="308"/>
      <c r="G162" s="308">
        <f>F162</f>
        <v>0</v>
      </c>
      <c r="I162" s="172"/>
      <c r="J162" s="171"/>
      <c r="K162" s="171"/>
      <c r="L162" s="171"/>
      <c r="M162" s="170"/>
      <c r="N162" s="243">
        <f>SUM(I162:M162)</f>
        <v>0</v>
      </c>
      <c r="O162" s="183">
        <v>1</v>
      </c>
      <c r="P162" s="235"/>
      <c r="Q162" s="249"/>
      <c r="R162" s="248"/>
      <c r="S162" s="248"/>
      <c r="T162" s="248"/>
      <c r="U162" s="248"/>
      <c r="V162" s="248"/>
      <c r="W162" s="247"/>
      <c r="X162" s="235">
        <f>P162*W$159</f>
        <v>0</v>
      </c>
      <c r="Z162" s="172"/>
      <c r="AA162" s="171"/>
      <c r="AB162" s="171"/>
      <c r="AC162" s="171"/>
      <c r="AD162" s="170"/>
      <c r="AE162" s="243">
        <f>SUM(Z162:AD162)</f>
        <v>0</v>
      </c>
      <c r="AF162" s="183">
        <v>1</v>
      </c>
      <c r="AG162" s="235"/>
      <c r="AH162" s="249"/>
      <c r="AI162" s="248"/>
      <c r="AJ162" s="248"/>
      <c r="AK162" s="248"/>
      <c r="AL162" s="248"/>
      <c r="AM162" s="248"/>
      <c r="AN162" s="247"/>
      <c r="AO162" s="235">
        <f>AG162*AN$159</f>
        <v>0</v>
      </c>
      <c r="AQ162" s="172"/>
      <c r="AR162" s="294"/>
      <c r="AS162" s="171"/>
      <c r="AT162" s="171"/>
      <c r="AU162" s="242"/>
      <c r="AV162" s="241">
        <f>SUM(AQ162:AU162)</f>
        <v>0</v>
      </c>
      <c r="AW162" s="183">
        <v>1</v>
      </c>
      <c r="AX162" s="235"/>
      <c r="AY162" s="249"/>
      <c r="AZ162" s="248"/>
      <c r="BA162" s="248"/>
      <c r="BB162" s="248"/>
      <c r="BC162" s="248"/>
      <c r="BD162" s="248"/>
      <c r="BE162" s="247"/>
      <c r="BF162" s="235"/>
      <c r="BH162" s="167"/>
      <c r="BI162" s="166"/>
      <c r="BJ162" s="166"/>
      <c r="BK162" s="166"/>
      <c r="BL162" s="165"/>
      <c r="BM162" s="240">
        <f>SUM(BH162:BL162)</f>
        <v>0</v>
      </c>
      <c r="BN162" s="183">
        <v>1</v>
      </c>
      <c r="BO162" s="235">
        <f>$G162*BM162*BN162</f>
        <v>0</v>
      </c>
      <c r="BP162" s="249"/>
      <c r="BQ162" s="248"/>
      <c r="BR162" s="248"/>
      <c r="BS162" s="248"/>
      <c r="BT162" s="248"/>
      <c r="BU162" s="248"/>
      <c r="BV162" s="247"/>
      <c r="BW162" s="235" t="e">
        <f>BO162*BV$159</f>
        <v>#REF!</v>
      </c>
      <c r="BY162" s="167"/>
      <c r="BZ162" s="166"/>
      <c r="CA162" s="166"/>
      <c r="CB162" s="166"/>
      <c r="CC162" s="165"/>
      <c r="CD162" s="240">
        <f>SUM(BY162:CC162)</f>
        <v>0</v>
      </c>
      <c r="CE162" s="183">
        <v>1</v>
      </c>
      <c r="CF162" s="235">
        <f>$G162*CD162*CE162</f>
        <v>0</v>
      </c>
      <c r="CG162" s="249"/>
      <c r="CH162" s="248"/>
      <c r="CI162" s="248"/>
      <c r="CJ162" s="248"/>
      <c r="CK162" s="248"/>
      <c r="CL162" s="248"/>
      <c r="CM162" s="247"/>
      <c r="CN162" s="235" t="e">
        <f>CF162*CM$159</f>
        <v>#REF!</v>
      </c>
      <c r="CP162" s="198"/>
      <c r="CQ162" s="234">
        <f>SUMIF(I$1:CO$1,1,I162:CO162)</f>
        <v>0</v>
      </c>
      <c r="CR162" s="6"/>
      <c r="CS162" s="233" t="e">
        <f>SUMIF(I$1:CO$1,2,I162:CO162)</f>
        <v>#REF!</v>
      </c>
      <c r="CU162" s="233">
        <f>SUMIF(I$1:CO$1,3,I162:CO162)</f>
        <v>0</v>
      </c>
      <c r="CW162" s="270"/>
      <c r="CX162" s="270"/>
    </row>
    <row r="163" spans="1:102" ht="15" customHeight="1" x14ac:dyDescent="0.25">
      <c r="A163" s="307"/>
      <c r="B163" s="244"/>
      <c r="C163" s="72" t="s">
        <v>36</v>
      </c>
      <c r="D163" s="252" t="s">
        <v>302</v>
      </c>
      <c r="E163" s="174" t="s">
        <v>106</v>
      </c>
      <c r="F163" s="292"/>
      <c r="G163" s="292">
        <f>F163</f>
        <v>0</v>
      </c>
      <c r="I163" s="172"/>
      <c r="J163" s="171"/>
      <c r="K163" s="171">
        <v>10.62134582</v>
      </c>
      <c r="L163" s="171"/>
      <c r="M163" s="170"/>
      <c r="N163" s="243"/>
      <c r="O163" s="239"/>
      <c r="P163" s="235"/>
      <c r="Q163" s="249"/>
      <c r="R163" s="248"/>
      <c r="S163" s="248"/>
      <c r="T163" s="248"/>
      <c r="U163" s="248"/>
      <c r="V163" s="248"/>
      <c r="W163" s="247"/>
      <c r="X163" s="235">
        <f>P163*W$159</f>
        <v>0</v>
      </c>
      <c r="Z163" s="172">
        <v>15.653508990000001</v>
      </c>
      <c r="AA163" s="171"/>
      <c r="AB163" s="171">
        <v>5.3794147099999998</v>
      </c>
      <c r="AC163" s="171"/>
      <c r="AD163" s="170">
        <v>3.0302974900000001</v>
      </c>
      <c r="AE163" s="243"/>
      <c r="AF163" s="239"/>
      <c r="AG163" s="235"/>
      <c r="AH163" s="249"/>
      <c r="AI163" s="248"/>
      <c r="AJ163" s="248"/>
      <c r="AK163" s="248"/>
      <c r="AL163" s="248"/>
      <c r="AM163" s="248"/>
      <c r="AN163" s="247"/>
      <c r="AO163" s="235">
        <f>AG163*AN$159</f>
        <v>0</v>
      </c>
      <c r="AQ163" s="172"/>
      <c r="AR163" s="294"/>
      <c r="AS163" s="171"/>
      <c r="AT163" s="171"/>
      <c r="AU163" s="242"/>
      <c r="AV163" s="241"/>
      <c r="AW163" s="239"/>
      <c r="AX163" s="235"/>
      <c r="AY163" s="249"/>
      <c r="AZ163" s="248"/>
      <c r="BA163" s="248"/>
      <c r="BB163" s="248"/>
      <c r="BC163" s="248"/>
      <c r="BD163" s="248"/>
      <c r="BE163" s="247"/>
      <c r="BF163" s="235"/>
      <c r="BH163" s="167"/>
      <c r="BI163" s="166"/>
      <c r="BJ163" s="166"/>
      <c r="BK163" s="166"/>
      <c r="BL163" s="165"/>
      <c r="BM163" s="240"/>
      <c r="BN163" s="239"/>
      <c r="BO163" s="235">
        <f>SUM(BH163:BL163)</f>
        <v>0</v>
      </c>
      <c r="BP163" s="249"/>
      <c r="BQ163" s="248"/>
      <c r="BR163" s="248"/>
      <c r="BS163" s="248"/>
      <c r="BT163" s="248"/>
      <c r="BU163" s="248"/>
      <c r="BV163" s="247"/>
      <c r="BW163" s="235" t="e">
        <f>BO163*BV$159</f>
        <v>#REF!</v>
      </c>
      <c r="BY163" s="167"/>
      <c r="BZ163" s="166"/>
      <c r="CA163" s="166"/>
      <c r="CB163" s="166"/>
      <c r="CC163" s="165"/>
      <c r="CD163" s="240"/>
      <c r="CE163" s="239"/>
      <c r="CF163" s="235">
        <f>SUM(BY163:CC163)</f>
        <v>0</v>
      </c>
      <c r="CG163" s="249"/>
      <c r="CH163" s="248"/>
      <c r="CI163" s="248"/>
      <c r="CJ163" s="248"/>
      <c r="CK163" s="248"/>
      <c r="CL163" s="248"/>
      <c r="CM163" s="247"/>
      <c r="CN163" s="235" t="e">
        <f>CF163*CM$159</f>
        <v>#REF!</v>
      </c>
      <c r="CP163" s="198"/>
      <c r="CQ163" s="234">
        <f>SUMIF(I$1:CO$1,1,I163:CO163)</f>
        <v>0</v>
      </c>
      <c r="CR163" s="6"/>
      <c r="CS163" s="233" t="e">
        <f>SUMIF(I$1:CO$1,2,I163:CO163)</f>
        <v>#REF!</v>
      </c>
      <c r="CU163" s="246"/>
      <c r="CW163" s="270"/>
      <c r="CX163" s="270"/>
    </row>
    <row r="164" spans="1:102" ht="15" customHeight="1" x14ac:dyDescent="0.25">
      <c r="A164" s="307"/>
      <c r="B164" s="244"/>
      <c r="C164" s="264" t="s">
        <v>35</v>
      </c>
      <c r="D164" s="199" t="s">
        <v>173</v>
      </c>
      <c r="E164" s="174" t="s">
        <v>106</v>
      </c>
      <c r="F164" s="292"/>
      <c r="G164" s="292">
        <f>F164</f>
        <v>0</v>
      </c>
      <c r="I164" s="172"/>
      <c r="J164" s="171"/>
      <c r="K164" s="171"/>
      <c r="L164" s="171"/>
      <c r="M164" s="170"/>
      <c r="N164" s="243"/>
      <c r="O164" s="239"/>
      <c r="P164" s="235"/>
      <c r="Q164" s="238"/>
      <c r="R164" s="237"/>
      <c r="S164" s="237"/>
      <c r="T164" s="237"/>
      <c r="U164" s="237"/>
      <c r="V164" s="237"/>
      <c r="W164" s="236"/>
      <c r="X164" s="235">
        <f>P164*W$159</f>
        <v>0</v>
      </c>
      <c r="Z164" s="172"/>
      <c r="AA164" s="171"/>
      <c r="AB164" s="171"/>
      <c r="AC164" s="171"/>
      <c r="AD164" s="170"/>
      <c r="AE164" s="243"/>
      <c r="AF164" s="239"/>
      <c r="AG164" s="235"/>
      <c r="AH164" s="238"/>
      <c r="AI164" s="237"/>
      <c r="AJ164" s="237"/>
      <c r="AK164" s="237"/>
      <c r="AL164" s="237"/>
      <c r="AM164" s="237"/>
      <c r="AN164" s="236"/>
      <c r="AO164" s="235">
        <f>AG164*AN$159</f>
        <v>0</v>
      </c>
      <c r="AQ164" s="172"/>
      <c r="AR164" s="294"/>
      <c r="AS164" s="171"/>
      <c r="AT164" s="171"/>
      <c r="AU164" s="242"/>
      <c r="AV164" s="241"/>
      <c r="AW164" s="239"/>
      <c r="AX164" s="235"/>
      <c r="AY164" s="238"/>
      <c r="AZ164" s="237"/>
      <c r="BA164" s="237"/>
      <c r="BB164" s="237"/>
      <c r="BC164" s="237"/>
      <c r="BD164" s="237"/>
      <c r="BE164" s="236"/>
      <c r="BF164" s="235"/>
      <c r="BH164" s="167"/>
      <c r="BI164" s="166"/>
      <c r="BJ164" s="166"/>
      <c r="BK164" s="166"/>
      <c r="BL164" s="165"/>
      <c r="BM164" s="240"/>
      <c r="BN164" s="239"/>
      <c r="BO164" s="235">
        <f>SUM(BH164:BL164)</f>
        <v>0</v>
      </c>
      <c r="BP164" s="238"/>
      <c r="BQ164" s="237"/>
      <c r="BR164" s="237"/>
      <c r="BS164" s="237"/>
      <c r="BT164" s="237"/>
      <c r="BU164" s="237"/>
      <c r="BV164" s="236"/>
      <c r="BW164" s="235" t="e">
        <f>BO164*BV$159</f>
        <v>#REF!</v>
      </c>
      <c r="BY164" s="167"/>
      <c r="BZ164" s="166"/>
      <c r="CA164" s="166"/>
      <c r="CB164" s="166"/>
      <c r="CC164" s="165"/>
      <c r="CD164" s="240"/>
      <c r="CE164" s="239"/>
      <c r="CF164" s="235">
        <f>SUM(BY164:CC164)</f>
        <v>0</v>
      </c>
      <c r="CG164" s="238"/>
      <c r="CH164" s="237"/>
      <c r="CI164" s="237"/>
      <c r="CJ164" s="237"/>
      <c r="CK164" s="237"/>
      <c r="CL164" s="237"/>
      <c r="CM164" s="236"/>
      <c r="CN164" s="235" t="e">
        <f>CF164*CM$159</f>
        <v>#REF!</v>
      </c>
      <c r="CP164" s="6"/>
      <c r="CQ164" s="234">
        <f>SUMIF(I$1:CO$1,1,I164:CO164)</f>
        <v>0</v>
      </c>
      <c r="CR164" s="6"/>
      <c r="CS164" s="233" t="e">
        <f>SUMIF(I$1:CO$1,2,I164:CO164)</f>
        <v>#REF!</v>
      </c>
      <c r="CU164" s="233">
        <f>SUMIF(I$1:CO$1,3,I164:CO164)</f>
        <v>0</v>
      </c>
      <c r="CW164" s="270"/>
      <c r="CX164" s="270"/>
    </row>
    <row r="165" spans="1:102" ht="15" customHeight="1" thickBot="1" x14ac:dyDescent="0.3">
      <c r="A165" s="306"/>
      <c r="B165" s="231"/>
      <c r="C165" s="229"/>
      <c r="D165" s="230" t="s">
        <v>148</v>
      </c>
      <c r="E165" s="229"/>
      <c r="F165" s="289"/>
      <c r="G165" s="289"/>
      <c r="I165" s="227"/>
      <c r="J165" s="226"/>
      <c r="K165" s="226"/>
      <c r="L165" s="226"/>
      <c r="M165" s="225"/>
      <c r="N165" s="224"/>
      <c r="O165" s="218"/>
      <c r="P165" s="217"/>
      <c r="Q165" s="219"/>
      <c r="R165" s="219"/>
      <c r="S165" s="219"/>
      <c r="T165" s="219"/>
      <c r="U165" s="219"/>
      <c r="V165" s="219"/>
      <c r="W165" s="218"/>
      <c r="X165" s="217">
        <f>SUM(X159:X164)</f>
        <v>0</v>
      </c>
      <c r="Z165" s="304"/>
      <c r="AA165" s="305"/>
      <c r="AB165" s="305"/>
      <c r="AC165" s="305"/>
      <c r="AD165" s="289"/>
      <c r="AE165" s="224"/>
      <c r="AF165" s="218"/>
      <c r="AG165" s="217"/>
      <c r="AH165" s="219"/>
      <c r="AI165" s="219"/>
      <c r="AJ165" s="219"/>
      <c r="AK165" s="219"/>
      <c r="AL165" s="219"/>
      <c r="AM165" s="219"/>
      <c r="AN165" s="218"/>
      <c r="AO165" s="217">
        <f>SUM(AO159:AO164)</f>
        <v>0</v>
      </c>
      <c r="AQ165" s="304"/>
      <c r="AR165" s="226"/>
      <c r="AS165" s="226"/>
      <c r="AT165" s="226"/>
      <c r="AU165" s="226"/>
      <c r="AV165" s="223"/>
      <c r="AW165" s="218"/>
      <c r="AX165" s="217"/>
      <c r="AY165" s="219"/>
      <c r="AZ165" s="219"/>
      <c r="BA165" s="219"/>
      <c r="BB165" s="219"/>
      <c r="BC165" s="219"/>
      <c r="BD165" s="219"/>
      <c r="BE165" s="218"/>
      <c r="BF165" s="217"/>
      <c r="BH165" s="222"/>
      <c r="BI165" s="221"/>
      <c r="BJ165" s="221"/>
      <c r="BK165" s="221"/>
      <c r="BL165" s="221"/>
      <c r="BM165" s="220"/>
      <c r="BN165" s="218"/>
      <c r="BO165" s="217">
        <f>SUM(BO159:BO164)</f>
        <v>0</v>
      </c>
      <c r="BP165" s="219"/>
      <c r="BQ165" s="219"/>
      <c r="BR165" s="219"/>
      <c r="BS165" s="219"/>
      <c r="BT165" s="219"/>
      <c r="BU165" s="219"/>
      <c r="BV165" s="218"/>
      <c r="BW165" s="217" t="e">
        <f>SUM(BW159:BW164)</f>
        <v>#REF!</v>
      </c>
      <c r="BY165" s="222"/>
      <c r="BZ165" s="221"/>
      <c r="CA165" s="221"/>
      <c r="CB165" s="221"/>
      <c r="CC165" s="221"/>
      <c r="CD165" s="220"/>
      <c r="CE165" s="218"/>
      <c r="CF165" s="217">
        <f>SUM(CF159:CF164)</f>
        <v>0</v>
      </c>
      <c r="CG165" s="219"/>
      <c r="CH165" s="219"/>
      <c r="CI165" s="219"/>
      <c r="CJ165" s="219"/>
      <c r="CK165" s="219"/>
      <c r="CL165" s="219"/>
      <c r="CM165" s="218"/>
      <c r="CN165" s="217" t="e">
        <f>SUM(CN159:CN164)</f>
        <v>#REF!</v>
      </c>
      <c r="CP165" s="6"/>
      <c r="CQ165" s="139">
        <f>SUM(CQ159:CQ164)</f>
        <v>0</v>
      </c>
      <c r="CR165" s="6"/>
      <c r="CS165" s="139" t="e">
        <f>SUM(CS159:CS164)</f>
        <v>#REF!</v>
      </c>
      <c r="CU165" s="139"/>
      <c r="CW165" s="270"/>
      <c r="CX165" s="270"/>
    </row>
    <row r="166" spans="1:102" ht="15" customHeight="1" x14ac:dyDescent="0.25">
      <c r="A166" s="312" t="s">
        <v>301</v>
      </c>
      <c r="B166" s="336" t="s">
        <v>139</v>
      </c>
      <c r="C166" s="285" t="s">
        <v>300</v>
      </c>
      <c r="D166" s="286" t="s">
        <v>299</v>
      </c>
      <c r="E166" s="335" t="s">
        <v>237</v>
      </c>
      <c r="F166" s="316">
        <f>((0.62*(1.014*1.012*1.015)*1.1/1.17)*1.028)*(1.058)</f>
        <v>0.66033118065047469</v>
      </c>
      <c r="G166" s="262">
        <f>F166*$G$1</f>
        <v>0</v>
      </c>
      <c r="I166" s="333"/>
      <c r="J166" s="331"/>
      <c r="K166" s="331"/>
      <c r="L166" s="331"/>
      <c r="M166" s="334"/>
      <c r="N166" s="321">
        <f>SUM(I166:M166)</f>
        <v>0</v>
      </c>
      <c r="O166" s="205">
        <v>1</v>
      </c>
      <c r="P166" s="318"/>
      <c r="Q166" s="275"/>
      <c r="R166" s="274"/>
      <c r="S166" s="274"/>
      <c r="T166" s="274"/>
      <c r="U166" s="274"/>
      <c r="V166" s="274"/>
      <c r="W166" s="273"/>
      <c r="X166" s="272">
        <f>P166*W$166</f>
        <v>0</v>
      </c>
      <c r="Z166" s="333"/>
      <c r="AA166" s="331"/>
      <c r="AB166" s="331"/>
      <c r="AC166" s="331"/>
      <c r="AD166" s="334"/>
      <c r="AE166" s="321">
        <f>SUM(Z166:AD166)</f>
        <v>0</v>
      </c>
      <c r="AF166" s="205">
        <v>1</v>
      </c>
      <c r="AG166" s="318"/>
      <c r="AH166" s="275"/>
      <c r="AI166" s="274"/>
      <c r="AJ166" s="274"/>
      <c r="AK166" s="274"/>
      <c r="AL166" s="274"/>
      <c r="AM166" s="274"/>
      <c r="AN166" s="273"/>
      <c r="AO166" s="272">
        <f>AG166*AN$166</f>
        <v>0</v>
      </c>
      <c r="AQ166" s="333"/>
      <c r="AR166" s="332"/>
      <c r="AS166" s="331"/>
      <c r="AT166" s="331"/>
      <c r="AU166" s="330"/>
      <c r="AV166" s="317">
        <f>SUM(AQ166:AU166)</f>
        <v>0</v>
      </c>
      <c r="AW166" s="205">
        <v>1</v>
      </c>
      <c r="AX166" s="318"/>
      <c r="AY166" s="275"/>
      <c r="AZ166" s="274"/>
      <c r="BA166" s="274"/>
      <c r="BB166" s="274"/>
      <c r="BC166" s="274"/>
      <c r="BD166" s="274"/>
      <c r="BE166" s="273"/>
      <c r="BF166" s="272"/>
      <c r="BH166" s="329"/>
      <c r="BI166" s="328"/>
      <c r="BJ166" s="328"/>
      <c r="BK166" s="328"/>
      <c r="BL166" s="327"/>
      <c r="BM166" s="319">
        <f>SUM(BH166:BL166)</f>
        <v>0</v>
      </c>
      <c r="BN166" s="205">
        <v>1</v>
      </c>
      <c r="BO166" s="318">
        <f>$G166*BM166*BN166</f>
        <v>0</v>
      </c>
      <c r="BP166" s="275" t="e">
        <f>VLOOKUP(BP5,#REF!,11,FALSE)/100+1</f>
        <v>#REF!</v>
      </c>
      <c r="BQ166" s="274" t="e">
        <f>VLOOKUP(BQ5,#REF!,11,FALSE)/100+1</f>
        <v>#REF!</v>
      </c>
      <c r="BR166" s="274" t="e">
        <f>VLOOKUP(BR5,#REF!,11,FALSE)/100+1</f>
        <v>#REF!</v>
      </c>
      <c r="BS166" s="274" t="e">
        <f>VLOOKUP(BS5,#REF!,11,FALSE)/100+1</f>
        <v>#REF!</v>
      </c>
      <c r="BT166" s="274" t="e">
        <f>VLOOKUP(BT5,#REF!,11,FALSE)/100+1</f>
        <v>#REF!</v>
      </c>
      <c r="BU166" s="274" t="e">
        <f>VLOOKUP(BU5,#REF!,11,FALSE)/100+1</f>
        <v>#REF!</v>
      </c>
      <c r="BV166" s="273" t="e">
        <f>BP166*BQ166*BR166*BS166*BT166*BU166</f>
        <v>#REF!</v>
      </c>
      <c r="BW166" s="272" t="e">
        <f>BO166*BV$166</f>
        <v>#REF!</v>
      </c>
      <c r="BY166" s="329"/>
      <c r="BZ166" s="328"/>
      <c r="CA166" s="328"/>
      <c r="CB166" s="328"/>
      <c r="CC166" s="327"/>
      <c r="CD166" s="319">
        <f>SUM(BY166:CC166)</f>
        <v>0</v>
      </c>
      <c r="CE166" s="205">
        <v>1</v>
      </c>
      <c r="CF166" s="318">
        <f>$G166*CD166*CE166</f>
        <v>0</v>
      </c>
      <c r="CG166" s="275" t="e">
        <f>VLOOKUP(CG5,#REF!,11,FALSE)/100+1</f>
        <v>#REF!</v>
      </c>
      <c r="CH166" s="274" t="e">
        <f>VLOOKUP(CH5,#REF!,11,FALSE)/100+1</f>
        <v>#REF!</v>
      </c>
      <c r="CI166" s="274" t="e">
        <f>VLOOKUP(CI5,#REF!,11,FALSE)/100+1</f>
        <v>#REF!</v>
      </c>
      <c r="CJ166" s="274" t="e">
        <f>VLOOKUP(CJ5,#REF!,11,FALSE)/100+1</f>
        <v>#REF!</v>
      </c>
      <c r="CK166" s="274" t="e">
        <f>VLOOKUP(CK5,#REF!,11,FALSE)/100+1</f>
        <v>#REF!</v>
      </c>
      <c r="CL166" s="274" t="e">
        <f>VLOOKUP(CL5,#REF!,11,FALSE)/100+1</f>
        <v>#REF!</v>
      </c>
      <c r="CM166" s="273" t="e">
        <f>CG166*CH166*CI166*CJ166*CK166*CL166</f>
        <v>#REF!</v>
      </c>
      <c r="CN166" s="272" t="e">
        <f>CF166*CM$166</f>
        <v>#REF!</v>
      </c>
      <c r="CP166" s="198"/>
      <c r="CQ166" s="271">
        <f>SUMIF(I$1:CO$1,1,I166:CO166)</f>
        <v>0</v>
      </c>
      <c r="CR166" s="6"/>
      <c r="CS166" s="271" t="e">
        <f>SUMIF(I$1:CO$1,2,I166:CO166)</f>
        <v>#REF!</v>
      </c>
      <c r="CU166" s="271">
        <f>SUMIF(I$1:CO$1,3,I166:CO166)</f>
        <v>0</v>
      </c>
      <c r="CW166" s="270"/>
      <c r="CX166" s="270"/>
    </row>
    <row r="167" spans="1:102" ht="15" customHeight="1" x14ac:dyDescent="0.25">
      <c r="A167" s="307"/>
      <c r="B167" s="326"/>
      <c r="C167" s="72" t="s">
        <v>298</v>
      </c>
      <c r="D167" s="265" t="s">
        <v>297</v>
      </c>
      <c r="E167" s="264" t="s">
        <v>237</v>
      </c>
      <c r="F167" s="263">
        <f>((0.56*(1.014*1.012*1.015)*1.1/1.17)*1.028)*(1.058)</f>
        <v>0.59642816316817071</v>
      </c>
      <c r="G167" s="262">
        <f>F167*$G$1</f>
        <v>0</v>
      </c>
      <c r="I167" s="172"/>
      <c r="J167" s="171"/>
      <c r="K167" s="171"/>
      <c r="L167" s="171"/>
      <c r="M167" s="170"/>
      <c r="N167" s="243">
        <f>SUM(I167:M167)</f>
        <v>0</v>
      </c>
      <c r="O167" s="183">
        <v>1</v>
      </c>
      <c r="P167" s="235"/>
      <c r="Q167" s="249"/>
      <c r="R167" s="248"/>
      <c r="S167" s="248"/>
      <c r="T167" s="248"/>
      <c r="U167" s="248"/>
      <c r="V167" s="248"/>
      <c r="W167" s="247"/>
      <c r="X167" s="235">
        <f>P167*W$166</f>
        <v>0</v>
      </c>
      <c r="Z167" s="172"/>
      <c r="AA167" s="171"/>
      <c r="AB167" s="171"/>
      <c r="AC167" s="171"/>
      <c r="AD167" s="170"/>
      <c r="AE167" s="243">
        <f>SUM(Z167:AD167)</f>
        <v>0</v>
      </c>
      <c r="AF167" s="183">
        <v>1</v>
      </c>
      <c r="AG167" s="235"/>
      <c r="AH167" s="249"/>
      <c r="AI167" s="248"/>
      <c r="AJ167" s="248"/>
      <c r="AK167" s="248"/>
      <c r="AL167" s="248"/>
      <c r="AM167" s="248"/>
      <c r="AN167" s="247"/>
      <c r="AO167" s="235">
        <f>AG167*AN$166</f>
        <v>0</v>
      </c>
      <c r="AQ167" s="172"/>
      <c r="AR167" s="294"/>
      <c r="AS167" s="171"/>
      <c r="AT167" s="171"/>
      <c r="AU167" s="242"/>
      <c r="AV167" s="241">
        <f>SUM(AQ167:AU167)</f>
        <v>0</v>
      </c>
      <c r="AW167" s="183">
        <v>1</v>
      </c>
      <c r="AX167" s="235"/>
      <c r="AY167" s="249"/>
      <c r="AZ167" s="248"/>
      <c r="BA167" s="248"/>
      <c r="BB167" s="248"/>
      <c r="BC167" s="248"/>
      <c r="BD167" s="248"/>
      <c r="BE167" s="247"/>
      <c r="BF167" s="235"/>
      <c r="BH167" s="167"/>
      <c r="BI167" s="166"/>
      <c r="BJ167" s="166"/>
      <c r="BK167" s="166"/>
      <c r="BL167" s="165"/>
      <c r="BM167" s="240">
        <f>SUM(BH167:BL167)</f>
        <v>0</v>
      </c>
      <c r="BN167" s="183">
        <v>1</v>
      </c>
      <c r="BO167" s="235">
        <f>$G167*BM167*BN167</f>
        <v>0</v>
      </c>
      <c r="BP167" s="249"/>
      <c r="BQ167" s="248"/>
      <c r="BR167" s="248"/>
      <c r="BS167" s="248"/>
      <c r="BT167" s="248"/>
      <c r="BU167" s="248"/>
      <c r="BV167" s="247"/>
      <c r="BW167" s="235" t="e">
        <f>BO167*BV$166</f>
        <v>#REF!</v>
      </c>
      <c r="BY167" s="167"/>
      <c r="BZ167" s="166"/>
      <c r="CA167" s="166"/>
      <c r="CB167" s="166"/>
      <c r="CC167" s="165"/>
      <c r="CD167" s="240">
        <f>SUM(BY167:CC167)</f>
        <v>0</v>
      </c>
      <c r="CE167" s="183">
        <v>1</v>
      </c>
      <c r="CF167" s="235">
        <f>$G167*CD167*CE167</f>
        <v>0</v>
      </c>
      <c r="CG167" s="249"/>
      <c r="CH167" s="248"/>
      <c r="CI167" s="248"/>
      <c r="CJ167" s="248"/>
      <c r="CK167" s="248"/>
      <c r="CL167" s="248"/>
      <c r="CM167" s="247"/>
      <c r="CN167" s="235" t="e">
        <f>CF167*CM$166</f>
        <v>#REF!</v>
      </c>
      <c r="CP167" s="198"/>
      <c r="CQ167" s="234">
        <f>SUMIF(I$1:CO$1,1,I167:CO167)</f>
        <v>0</v>
      </c>
      <c r="CR167" s="6"/>
      <c r="CS167" s="233" t="e">
        <f>SUMIF(I$1:CO$1,2,I167:CO167)</f>
        <v>#REF!</v>
      </c>
      <c r="CU167" s="233">
        <f>SUMIF(I$1:CO$1,3,I167:CO167)</f>
        <v>0</v>
      </c>
      <c r="CW167" s="270"/>
      <c r="CX167" s="270"/>
    </row>
    <row r="168" spans="1:102" ht="15" customHeight="1" x14ac:dyDescent="0.25">
      <c r="A168" s="307"/>
      <c r="B168" s="326"/>
      <c r="C168" s="72" t="s">
        <v>296</v>
      </c>
      <c r="D168" s="265" t="s">
        <v>295</v>
      </c>
      <c r="E168" s="264" t="s">
        <v>237</v>
      </c>
      <c r="F168" s="263">
        <f>((0.97*(1.014*1.012*1.015)*1.1/1.17)*1.028)*(1.058)</f>
        <v>1.0330987826305813</v>
      </c>
      <c r="G168" s="262">
        <f>F168*$G$1</f>
        <v>0</v>
      </c>
      <c r="I168" s="172"/>
      <c r="J168" s="171"/>
      <c r="K168" s="171"/>
      <c r="L168" s="171"/>
      <c r="M168" s="170"/>
      <c r="N168" s="243">
        <f>SUM(I168:M168)</f>
        <v>0</v>
      </c>
      <c r="O168" s="183">
        <v>1</v>
      </c>
      <c r="P168" s="235"/>
      <c r="Q168" s="249"/>
      <c r="R168" s="248"/>
      <c r="S168" s="248"/>
      <c r="T168" s="248"/>
      <c r="U168" s="248"/>
      <c r="V168" s="248"/>
      <c r="W168" s="247"/>
      <c r="X168" s="235">
        <f>P168*W$166</f>
        <v>0</v>
      </c>
      <c r="Z168" s="172"/>
      <c r="AA168" s="171"/>
      <c r="AB168" s="171"/>
      <c r="AC168" s="171"/>
      <c r="AD168" s="170"/>
      <c r="AE168" s="243">
        <f>SUM(Z168:AD168)</f>
        <v>0</v>
      </c>
      <c r="AF168" s="183">
        <v>1</v>
      </c>
      <c r="AG168" s="235"/>
      <c r="AH168" s="249"/>
      <c r="AI168" s="248"/>
      <c r="AJ168" s="248"/>
      <c r="AK168" s="248"/>
      <c r="AL168" s="248"/>
      <c r="AM168" s="248"/>
      <c r="AN168" s="247"/>
      <c r="AO168" s="235">
        <f>AG168*AN$166</f>
        <v>0</v>
      </c>
      <c r="AQ168" s="172"/>
      <c r="AR168" s="294"/>
      <c r="AS168" s="171"/>
      <c r="AT168" s="171"/>
      <c r="AU168" s="242"/>
      <c r="AV168" s="241">
        <f>SUM(AQ168:AU168)</f>
        <v>0</v>
      </c>
      <c r="AW168" s="183">
        <v>1</v>
      </c>
      <c r="AX168" s="235"/>
      <c r="AY168" s="249"/>
      <c r="AZ168" s="248"/>
      <c r="BA168" s="248"/>
      <c r="BB168" s="248"/>
      <c r="BC168" s="248"/>
      <c r="BD168" s="248"/>
      <c r="BE168" s="247"/>
      <c r="BF168" s="235"/>
      <c r="BH168" s="167"/>
      <c r="BI168" s="166"/>
      <c r="BJ168" s="166"/>
      <c r="BK168" s="166"/>
      <c r="BL168" s="165"/>
      <c r="BM168" s="240">
        <f>SUM(BH168:BL168)</f>
        <v>0</v>
      </c>
      <c r="BN168" s="183">
        <v>1</v>
      </c>
      <c r="BO168" s="235">
        <f>$G168*BM168*BN168</f>
        <v>0</v>
      </c>
      <c r="BP168" s="249"/>
      <c r="BQ168" s="248"/>
      <c r="BR168" s="248"/>
      <c r="BS168" s="248"/>
      <c r="BT168" s="248"/>
      <c r="BU168" s="248"/>
      <c r="BV168" s="247"/>
      <c r="BW168" s="235" t="e">
        <f>BO168*BV$166</f>
        <v>#REF!</v>
      </c>
      <c r="BY168" s="167"/>
      <c r="BZ168" s="166"/>
      <c r="CA168" s="166"/>
      <c r="CB168" s="166"/>
      <c r="CC168" s="165"/>
      <c r="CD168" s="240">
        <f>SUM(BY168:CC168)</f>
        <v>0</v>
      </c>
      <c r="CE168" s="183">
        <v>1</v>
      </c>
      <c r="CF168" s="235">
        <f>$G168*CD168*CE168</f>
        <v>0</v>
      </c>
      <c r="CG168" s="249"/>
      <c r="CH168" s="248"/>
      <c r="CI168" s="248"/>
      <c r="CJ168" s="248"/>
      <c r="CK168" s="248"/>
      <c r="CL168" s="248"/>
      <c r="CM168" s="247"/>
      <c r="CN168" s="235" t="e">
        <f>CF168*CM$166</f>
        <v>#REF!</v>
      </c>
      <c r="CP168" s="198"/>
      <c r="CQ168" s="234">
        <f>SUMIF(I$1:CO$1,1,I168:CO168)</f>
        <v>0</v>
      </c>
      <c r="CR168" s="6"/>
      <c r="CS168" s="233" t="e">
        <f>SUMIF(I$1:CO$1,2,I168:CO168)</f>
        <v>#REF!</v>
      </c>
      <c r="CU168" s="233">
        <f>SUMIF(I$1:CO$1,3,I168:CO168)</f>
        <v>0</v>
      </c>
      <c r="CW168" s="270"/>
      <c r="CX168" s="270"/>
    </row>
    <row r="169" spans="1:102" ht="15" customHeight="1" x14ac:dyDescent="0.25">
      <c r="A169" s="307"/>
      <c r="B169" s="326"/>
      <c r="C169" s="72" t="s">
        <v>294</v>
      </c>
      <c r="D169" s="265" t="s">
        <v>293</v>
      </c>
      <c r="E169" s="264" t="s">
        <v>237</v>
      </c>
      <c r="F169" s="263">
        <f>((0.86*(1.014*1.012*1.015)*1.1/1.17)*1.028)*(1.058)</f>
        <v>0.91594325057969073</v>
      </c>
      <c r="G169" s="262">
        <f>F169*$G$1</f>
        <v>0</v>
      </c>
      <c r="I169" s="172"/>
      <c r="J169" s="171"/>
      <c r="K169" s="171"/>
      <c r="L169" s="171"/>
      <c r="M169" s="170"/>
      <c r="N169" s="243">
        <f>SUM(I169:M169)</f>
        <v>0</v>
      </c>
      <c r="O169" s="183">
        <v>1</v>
      </c>
      <c r="P169" s="235"/>
      <c r="Q169" s="249"/>
      <c r="R169" s="248"/>
      <c r="S169" s="248"/>
      <c r="T169" s="248"/>
      <c r="U169" s="248"/>
      <c r="V169" s="248"/>
      <c r="W169" s="247"/>
      <c r="X169" s="235">
        <f>P169*W$166</f>
        <v>0</v>
      </c>
      <c r="Z169" s="172"/>
      <c r="AA169" s="171"/>
      <c r="AB169" s="171"/>
      <c r="AC169" s="171"/>
      <c r="AD169" s="170"/>
      <c r="AE169" s="243">
        <f>SUM(Z169:AD169)</f>
        <v>0</v>
      </c>
      <c r="AF169" s="183">
        <v>1</v>
      </c>
      <c r="AG169" s="235"/>
      <c r="AH169" s="249"/>
      <c r="AI169" s="248"/>
      <c r="AJ169" s="248"/>
      <c r="AK169" s="248"/>
      <c r="AL169" s="248"/>
      <c r="AM169" s="248"/>
      <c r="AN169" s="247"/>
      <c r="AO169" s="235">
        <f>AG169*AN$166</f>
        <v>0</v>
      </c>
      <c r="AQ169" s="172"/>
      <c r="AR169" s="294"/>
      <c r="AS169" s="171"/>
      <c r="AT169" s="171"/>
      <c r="AU169" s="242"/>
      <c r="AV169" s="241">
        <f>SUM(AQ169:AU169)</f>
        <v>0</v>
      </c>
      <c r="AW169" s="183">
        <v>1</v>
      </c>
      <c r="AX169" s="235"/>
      <c r="AY169" s="249"/>
      <c r="AZ169" s="248"/>
      <c r="BA169" s="248"/>
      <c r="BB169" s="248"/>
      <c r="BC169" s="248"/>
      <c r="BD169" s="248"/>
      <c r="BE169" s="247"/>
      <c r="BF169" s="235"/>
      <c r="BH169" s="167"/>
      <c r="BI169" s="166"/>
      <c r="BJ169" s="166"/>
      <c r="BK169" s="166"/>
      <c r="BL169" s="165"/>
      <c r="BM169" s="240">
        <f>SUM(BH169:BL169)</f>
        <v>0</v>
      </c>
      <c r="BN169" s="183">
        <v>1</v>
      </c>
      <c r="BO169" s="235">
        <f>$G169*BM169*BN169</f>
        <v>0</v>
      </c>
      <c r="BP169" s="249"/>
      <c r="BQ169" s="248"/>
      <c r="BR169" s="248"/>
      <c r="BS169" s="248"/>
      <c r="BT169" s="248"/>
      <c r="BU169" s="248"/>
      <c r="BV169" s="247"/>
      <c r="BW169" s="235" t="e">
        <f>BO169*BV$166</f>
        <v>#REF!</v>
      </c>
      <c r="BY169" s="167"/>
      <c r="BZ169" s="166"/>
      <c r="CA169" s="166"/>
      <c r="CB169" s="166"/>
      <c r="CC169" s="165"/>
      <c r="CD169" s="240">
        <f>SUM(BY169:CC169)</f>
        <v>0</v>
      </c>
      <c r="CE169" s="183">
        <v>1</v>
      </c>
      <c r="CF169" s="235">
        <f>$G169*CD169*CE169</f>
        <v>0</v>
      </c>
      <c r="CG169" s="249"/>
      <c r="CH169" s="248"/>
      <c r="CI169" s="248"/>
      <c r="CJ169" s="248"/>
      <c r="CK169" s="248"/>
      <c r="CL169" s="248"/>
      <c r="CM169" s="247"/>
      <c r="CN169" s="235" t="e">
        <f>CF169*CM$166</f>
        <v>#REF!</v>
      </c>
      <c r="CP169" s="198"/>
      <c r="CQ169" s="234">
        <f>SUMIF(I$1:CO$1,1,I169:CO169)</f>
        <v>0</v>
      </c>
      <c r="CR169" s="6"/>
      <c r="CS169" s="233" t="e">
        <f>SUMIF(I$1:CO$1,2,I169:CO169)</f>
        <v>#REF!</v>
      </c>
      <c r="CU169" s="233">
        <f>SUMIF(I$1:CO$1,3,I169:CO169)</f>
        <v>0</v>
      </c>
      <c r="CW169" s="270"/>
      <c r="CX169" s="270"/>
    </row>
    <row r="170" spans="1:102" ht="15" customHeight="1" x14ac:dyDescent="0.25">
      <c r="A170" s="307"/>
      <c r="B170" s="325"/>
      <c r="C170" s="72" t="s">
        <v>34</v>
      </c>
      <c r="D170" s="324" t="s">
        <v>292</v>
      </c>
      <c r="E170" s="323" t="s">
        <v>106</v>
      </c>
      <c r="F170" s="292"/>
      <c r="G170" s="292">
        <f>F170</f>
        <v>0</v>
      </c>
      <c r="I170" s="172"/>
      <c r="J170" s="171"/>
      <c r="K170" s="171"/>
      <c r="L170" s="171"/>
      <c r="M170" s="170"/>
      <c r="N170" s="243"/>
      <c r="O170" s="239"/>
      <c r="P170" s="235"/>
      <c r="Q170" s="249"/>
      <c r="R170" s="248"/>
      <c r="S170" s="248"/>
      <c r="T170" s="248"/>
      <c r="U170" s="248"/>
      <c r="V170" s="248"/>
      <c r="W170" s="247"/>
      <c r="X170" s="235">
        <f>P170*W$166</f>
        <v>0</v>
      </c>
      <c r="Z170" s="172"/>
      <c r="AA170" s="171"/>
      <c r="AB170" s="171"/>
      <c r="AC170" s="171"/>
      <c r="AD170" s="170"/>
      <c r="AE170" s="243"/>
      <c r="AF170" s="239"/>
      <c r="AG170" s="235"/>
      <c r="AH170" s="249"/>
      <c r="AI170" s="248"/>
      <c r="AJ170" s="248"/>
      <c r="AK170" s="248"/>
      <c r="AL170" s="248"/>
      <c r="AM170" s="248"/>
      <c r="AN170" s="247"/>
      <c r="AO170" s="235">
        <f>AG170*AN$166</f>
        <v>0</v>
      </c>
      <c r="AQ170" s="172"/>
      <c r="AR170" s="294"/>
      <c r="AS170" s="171"/>
      <c r="AT170" s="171"/>
      <c r="AU170" s="242"/>
      <c r="AV170" s="241"/>
      <c r="AW170" s="239"/>
      <c r="AX170" s="235"/>
      <c r="AY170" s="249"/>
      <c r="AZ170" s="248"/>
      <c r="BA170" s="248"/>
      <c r="BB170" s="248"/>
      <c r="BC170" s="248"/>
      <c r="BD170" s="248"/>
      <c r="BE170" s="247"/>
      <c r="BF170" s="235"/>
      <c r="BH170" s="167"/>
      <c r="BI170" s="166"/>
      <c r="BJ170" s="166"/>
      <c r="BK170" s="166"/>
      <c r="BL170" s="165"/>
      <c r="BM170" s="240"/>
      <c r="BN170" s="239"/>
      <c r="BO170" s="235">
        <f>SUM(BH170:BL170)</f>
        <v>0</v>
      </c>
      <c r="BP170" s="249"/>
      <c r="BQ170" s="248"/>
      <c r="BR170" s="248"/>
      <c r="BS170" s="248"/>
      <c r="BT170" s="248"/>
      <c r="BU170" s="248"/>
      <c r="BV170" s="247"/>
      <c r="BW170" s="235" t="e">
        <f>BO170*BV$166</f>
        <v>#REF!</v>
      </c>
      <c r="BY170" s="167"/>
      <c r="BZ170" s="166"/>
      <c r="CA170" s="166"/>
      <c r="CB170" s="166"/>
      <c r="CC170" s="165"/>
      <c r="CD170" s="240"/>
      <c r="CE170" s="239"/>
      <c r="CF170" s="235">
        <f>SUM(BY170:CC170)</f>
        <v>0</v>
      </c>
      <c r="CG170" s="249"/>
      <c r="CH170" s="248"/>
      <c r="CI170" s="248"/>
      <c r="CJ170" s="248"/>
      <c r="CK170" s="248"/>
      <c r="CL170" s="248"/>
      <c r="CM170" s="247"/>
      <c r="CN170" s="235" t="e">
        <f>CF170*CM$166</f>
        <v>#REF!</v>
      </c>
      <c r="CP170" s="198"/>
      <c r="CQ170" s="234">
        <f>SUMIF(I$1:CO$1,1,I170:CO170)</f>
        <v>0</v>
      </c>
      <c r="CR170" s="6"/>
      <c r="CS170" s="233" t="e">
        <f>SUMIF(I$1:CO$1,2,I170:CO170)</f>
        <v>#REF!</v>
      </c>
      <c r="CU170" s="233">
        <f>SUMIF(I$1:CO$1,3,I170:CO170)</f>
        <v>0</v>
      </c>
      <c r="CW170" s="270"/>
      <c r="CX170" s="270"/>
    </row>
    <row r="171" spans="1:102" ht="15" customHeight="1" x14ac:dyDescent="0.25">
      <c r="A171" s="307"/>
      <c r="B171" s="257" t="s">
        <v>178</v>
      </c>
      <c r="C171" s="72" t="s">
        <v>33</v>
      </c>
      <c r="D171" s="255" t="s">
        <v>175</v>
      </c>
      <c r="E171" s="254"/>
      <c r="F171" s="308"/>
      <c r="G171" s="308">
        <f>F171</f>
        <v>0</v>
      </c>
      <c r="I171" s="172"/>
      <c r="J171" s="171"/>
      <c r="K171" s="171"/>
      <c r="L171" s="171"/>
      <c r="M171" s="170"/>
      <c r="N171" s="243">
        <f>SUM(I171:M171)</f>
        <v>0</v>
      </c>
      <c r="O171" s="183">
        <v>1</v>
      </c>
      <c r="P171" s="235"/>
      <c r="Q171" s="249"/>
      <c r="R171" s="248"/>
      <c r="S171" s="248"/>
      <c r="T171" s="248"/>
      <c r="U171" s="248"/>
      <c r="V171" s="248"/>
      <c r="W171" s="247"/>
      <c r="X171" s="235">
        <f>P171*W$166</f>
        <v>0</v>
      </c>
      <c r="Z171" s="172"/>
      <c r="AA171" s="171"/>
      <c r="AB171" s="171"/>
      <c r="AC171" s="171"/>
      <c r="AD171" s="170"/>
      <c r="AE171" s="243">
        <f>SUM(Z171:AD171)</f>
        <v>0</v>
      </c>
      <c r="AF171" s="183">
        <v>1</v>
      </c>
      <c r="AG171" s="235"/>
      <c r="AH171" s="249"/>
      <c r="AI171" s="248"/>
      <c r="AJ171" s="248"/>
      <c r="AK171" s="248"/>
      <c r="AL171" s="248"/>
      <c r="AM171" s="248"/>
      <c r="AN171" s="247"/>
      <c r="AO171" s="235">
        <f>AG171*AN$166</f>
        <v>0</v>
      </c>
      <c r="AQ171" s="172"/>
      <c r="AR171" s="294"/>
      <c r="AS171" s="171"/>
      <c r="AT171" s="171"/>
      <c r="AU171" s="242"/>
      <c r="AV171" s="241">
        <f>SUM(AQ171:AU171)</f>
        <v>0</v>
      </c>
      <c r="AW171" s="183">
        <v>1</v>
      </c>
      <c r="AX171" s="235"/>
      <c r="AY171" s="249"/>
      <c r="AZ171" s="248"/>
      <c r="BA171" s="248"/>
      <c r="BB171" s="248"/>
      <c r="BC171" s="248"/>
      <c r="BD171" s="248"/>
      <c r="BE171" s="247"/>
      <c r="BF171" s="235"/>
      <c r="BH171" s="167"/>
      <c r="BI171" s="166"/>
      <c r="BJ171" s="166"/>
      <c r="BK171" s="166"/>
      <c r="BL171" s="165"/>
      <c r="BM171" s="240">
        <f>SUM(BH171:BL171)</f>
        <v>0</v>
      </c>
      <c r="BN171" s="183">
        <v>1</v>
      </c>
      <c r="BO171" s="235">
        <f>$G171*BM171*BN171</f>
        <v>0</v>
      </c>
      <c r="BP171" s="249"/>
      <c r="BQ171" s="248"/>
      <c r="BR171" s="248"/>
      <c r="BS171" s="248"/>
      <c r="BT171" s="248"/>
      <c r="BU171" s="248"/>
      <c r="BV171" s="247"/>
      <c r="BW171" s="235" t="e">
        <f>BO171*BV$166</f>
        <v>#REF!</v>
      </c>
      <c r="BY171" s="167"/>
      <c r="BZ171" s="166"/>
      <c r="CA171" s="166"/>
      <c r="CB171" s="166"/>
      <c r="CC171" s="165"/>
      <c r="CD171" s="240">
        <f>SUM(BY171:CC171)</f>
        <v>0</v>
      </c>
      <c r="CE171" s="183">
        <v>1</v>
      </c>
      <c r="CF171" s="235">
        <f>$G171*CD171*CE171</f>
        <v>0</v>
      </c>
      <c r="CG171" s="249"/>
      <c r="CH171" s="248"/>
      <c r="CI171" s="248"/>
      <c r="CJ171" s="248"/>
      <c r="CK171" s="248"/>
      <c r="CL171" s="248"/>
      <c r="CM171" s="247"/>
      <c r="CN171" s="235" t="e">
        <f>CF171*CM$166</f>
        <v>#REF!</v>
      </c>
      <c r="CP171" s="198"/>
      <c r="CQ171" s="234">
        <f>SUMIF(I$1:CO$1,1,I171:CO171)</f>
        <v>0</v>
      </c>
      <c r="CR171" s="6"/>
      <c r="CS171" s="233" t="e">
        <f>SUMIF(I$1:CO$1,2,I171:CO171)</f>
        <v>#REF!</v>
      </c>
      <c r="CU171" s="233">
        <f>SUMIF(I$1:CO$1,3,I171:CO171)</f>
        <v>0</v>
      </c>
      <c r="CW171" s="270"/>
      <c r="CX171" s="270"/>
    </row>
    <row r="172" spans="1:102" ht="15" customHeight="1" x14ac:dyDescent="0.25">
      <c r="A172" s="307"/>
      <c r="B172" s="244"/>
      <c r="C172" s="72" t="s">
        <v>32</v>
      </c>
      <c r="D172" s="255" t="s">
        <v>175</v>
      </c>
      <c r="E172" s="254"/>
      <c r="F172" s="308"/>
      <c r="G172" s="308">
        <f>F172</f>
        <v>0</v>
      </c>
      <c r="I172" s="172"/>
      <c r="J172" s="171"/>
      <c r="K172" s="171"/>
      <c r="L172" s="171"/>
      <c r="M172" s="170"/>
      <c r="N172" s="243">
        <f>SUM(I172:M172)</f>
        <v>0</v>
      </c>
      <c r="O172" s="183">
        <v>1</v>
      </c>
      <c r="P172" s="235"/>
      <c r="Q172" s="249"/>
      <c r="R172" s="248"/>
      <c r="S172" s="248"/>
      <c r="T172" s="248"/>
      <c r="U172" s="248"/>
      <c r="V172" s="248"/>
      <c r="W172" s="247"/>
      <c r="X172" s="235">
        <f>P172*W$166</f>
        <v>0</v>
      </c>
      <c r="Z172" s="172"/>
      <c r="AA172" s="171"/>
      <c r="AB172" s="171"/>
      <c r="AC172" s="171"/>
      <c r="AD172" s="170"/>
      <c r="AE172" s="243">
        <f>SUM(Z172:AD172)</f>
        <v>0</v>
      </c>
      <c r="AF172" s="183">
        <v>1</v>
      </c>
      <c r="AG172" s="235"/>
      <c r="AH172" s="249"/>
      <c r="AI172" s="248"/>
      <c r="AJ172" s="248"/>
      <c r="AK172" s="248"/>
      <c r="AL172" s="248"/>
      <c r="AM172" s="248"/>
      <c r="AN172" s="247"/>
      <c r="AO172" s="235">
        <f>AG172*AN$166</f>
        <v>0</v>
      </c>
      <c r="AQ172" s="172"/>
      <c r="AR172" s="294"/>
      <c r="AS172" s="171"/>
      <c r="AT172" s="171"/>
      <c r="AU172" s="242"/>
      <c r="AV172" s="241">
        <f>SUM(AQ172:AU172)</f>
        <v>0</v>
      </c>
      <c r="AW172" s="183">
        <v>1</v>
      </c>
      <c r="AX172" s="235"/>
      <c r="AY172" s="249"/>
      <c r="AZ172" s="248"/>
      <c r="BA172" s="248"/>
      <c r="BB172" s="248"/>
      <c r="BC172" s="248"/>
      <c r="BD172" s="248"/>
      <c r="BE172" s="247"/>
      <c r="BF172" s="235"/>
      <c r="BH172" s="167"/>
      <c r="BI172" s="166"/>
      <c r="BJ172" s="166"/>
      <c r="BK172" s="166"/>
      <c r="BL172" s="165"/>
      <c r="BM172" s="240">
        <f>SUM(BH172:BL172)</f>
        <v>0</v>
      </c>
      <c r="BN172" s="183">
        <v>1</v>
      </c>
      <c r="BO172" s="235">
        <f>$G172*BM172*BN172</f>
        <v>0</v>
      </c>
      <c r="BP172" s="249"/>
      <c r="BQ172" s="248"/>
      <c r="BR172" s="248"/>
      <c r="BS172" s="248"/>
      <c r="BT172" s="248"/>
      <c r="BU172" s="248"/>
      <c r="BV172" s="247"/>
      <c r="BW172" s="235" t="e">
        <f>BO172*BV$166</f>
        <v>#REF!</v>
      </c>
      <c r="BY172" s="167"/>
      <c r="BZ172" s="166"/>
      <c r="CA172" s="166"/>
      <c r="CB172" s="166"/>
      <c r="CC172" s="165"/>
      <c r="CD172" s="240">
        <f>SUM(BY172:CC172)</f>
        <v>0</v>
      </c>
      <c r="CE172" s="183">
        <v>1</v>
      </c>
      <c r="CF172" s="235">
        <f>$G172*CD172*CE172</f>
        <v>0</v>
      </c>
      <c r="CG172" s="249"/>
      <c r="CH172" s="248"/>
      <c r="CI172" s="248"/>
      <c r="CJ172" s="248"/>
      <c r="CK172" s="248"/>
      <c r="CL172" s="248"/>
      <c r="CM172" s="247"/>
      <c r="CN172" s="235" t="e">
        <f>CF172*CM$166</f>
        <v>#REF!</v>
      </c>
      <c r="CP172" s="198"/>
      <c r="CQ172" s="234">
        <f>SUMIF(I$1:CO$1,1,I172:CO172)</f>
        <v>0</v>
      </c>
      <c r="CR172" s="6"/>
      <c r="CS172" s="233" t="e">
        <f>SUMIF(I$1:CO$1,2,I172:CO172)</f>
        <v>#REF!</v>
      </c>
      <c r="CU172" s="233">
        <f>SUMIF(I$1:CO$1,3,I172:CO172)</f>
        <v>0</v>
      </c>
      <c r="CW172" s="270"/>
      <c r="CX172" s="270"/>
    </row>
    <row r="173" spans="1:102" ht="15" customHeight="1" x14ac:dyDescent="0.25">
      <c r="A173" s="307"/>
      <c r="B173" s="244"/>
      <c r="C173" s="72" t="s">
        <v>31</v>
      </c>
      <c r="D173" s="252" t="s">
        <v>173</v>
      </c>
      <c r="E173" s="174" t="s">
        <v>106</v>
      </c>
      <c r="F173" s="292"/>
      <c r="G173" s="292">
        <f>F173</f>
        <v>0</v>
      </c>
      <c r="I173" s="172"/>
      <c r="J173" s="171"/>
      <c r="K173" s="171"/>
      <c r="L173" s="171"/>
      <c r="M173" s="170"/>
      <c r="N173" s="243"/>
      <c r="O173" s="239"/>
      <c r="P173" s="235"/>
      <c r="Q173" s="249"/>
      <c r="R173" s="248"/>
      <c r="S173" s="248"/>
      <c r="T173" s="248"/>
      <c r="U173" s="248"/>
      <c r="V173" s="248"/>
      <c r="W173" s="247"/>
      <c r="X173" s="235">
        <f>P173*W$166</f>
        <v>0</v>
      </c>
      <c r="Z173" s="172"/>
      <c r="AA173" s="171"/>
      <c r="AB173" s="171"/>
      <c r="AC173" s="171"/>
      <c r="AD173" s="170"/>
      <c r="AE173" s="243"/>
      <c r="AF173" s="239"/>
      <c r="AG173" s="235"/>
      <c r="AH173" s="249"/>
      <c r="AI173" s="248"/>
      <c r="AJ173" s="248"/>
      <c r="AK173" s="248"/>
      <c r="AL173" s="248"/>
      <c r="AM173" s="248"/>
      <c r="AN173" s="247"/>
      <c r="AO173" s="235">
        <f>AG173*AN$166</f>
        <v>0</v>
      </c>
      <c r="AQ173" s="172"/>
      <c r="AR173" s="294"/>
      <c r="AS173" s="171"/>
      <c r="AT173" s="171"/>
      <c r="AU173" s="242"/>
      <c r="AV173" s="241"/>
      <c r="AW173" s="239"/>
      <c r="AX173" s="235"/>
      <c r="AY173" s="249"/>
      <c r="AZ173" s="248"/>
      <c r="BA173" s="248"/>
      <c r="BB173" s="248"/>
      <c r="BC173" s="248"/>
      <c r="BD173" s="248"/>
      <c r="BE173" s="247"/>
      <c r="BF173" s="235"/>
      <c r="BH173" s="167"/>
      <c r="BI173" s="166"/>
      <c r="BJ173" s="166"/>
      <c r="BK173" s="166"/>
      <c r="BL173" s="165"/>
      <c r="BM173" s="240"/>
      <c r="BN173" s="239"/>
      <c r="BO173" s="235">
        <f>SUM(BH173:BL173)</f>
        <v>0</v>
      </c>
      <c r="BP173" s="249"/>
      <c r="BQ173" s="248"/>
      <c r="BR173" s="248"/>
      <c r="BS173" s="248"/>
      <c r="BT173" s="248"/>
      <c r="BU173" s="248"/>
      <c r="BV173" s="247"/>
      <c r="BW173" s="235" t="e">
        <f>BO173*BV$166</f>
        <v>#REF!</v>
      </c>
      <c r="BY173" s="167"/>
      <c r="BZ173" s="166"/>
      <c r="CA173" s="166"/>
      <c r="CB173" s="166"/>
      <c r="CC173" s="165"/>
      <c r="CD173" s="240"/>
      <c r="CE173" s="239"/>
      <c r="CF173" s="235">
        <f>SUM(BY173:CC173)</f>
        <v>0</v>
      </c>
      <c r="CG173" s="249"/>
      <c r="CH173" s="248"/>
      <c r="CI173" s="248"/>
      <c r="CJ173" s="248"/>
      <c r="CK173" s="248"/>
      <c r="CL173" s="248"/>
      <c r="CM173" s="247"/>
      <c r="CN173" s="235" t="e">
        <f>CF173*CM$166</f>
        <v>#REF!</v>
      </c>
      <c r="CP173" s="198"/>
      <c r="CQ173" s="234">
        <f>SUMIF(I$1:CO$1,1,I173:CO173)</f>
        <v>0</v>
      </c>
      <c r="CR173" s="6"/>
      <c r="CS173" s="233" t="e">
        <f>SUMIF(I$1:CO$1,2,I173:CO173)</f>
        <v>#REF!</v>
      </c>
      <c r="CU173" s="233">
        <f>SUMIF(I$1:CO$1,3,I173:CO173)</f>
        <v>0</v>
      </c>
      <c r="CW173" s="270"/>
      <c r="CX173" s="270"/>
    </row>
    <row r="174" spans="1:102" ht="15" customHeight="1" x14ac:dyDescent="0.25">
      <c r="A174" s="307"/>
      <c r="B174" s="244"/>
      <c r="C174" s="72" t="s">
        <v>30</v>
      </c>
      <c r="D174" s="175" t="s">
        <v>173</v>
      </c>
      <c r="E174" s="174" t="s">
        <v>106</v>
      </c>
      <c r="F174" s="292"/>
      <c r="G174" s="292">
        <f>F174</f>
        <v>0</v>
      </c>
      <c r="I174" s="172"/>
      <c r="J174" s="171"/>
      <c r="K174" s="171"/>
      <c r="L174" s="171"/>
      <c r="M174" s="170"/>
      <c r="N174" s="243"/>
      <c r="O174" s="239"/>
      <c r="P174" s="235"/>
      <c r="Q174" s="238"/>
      <c r="R174" s="237"/>
      <c r="S174" s="237"/>
      <c r="T174" s="237"/>
      <c r="U174" s="237"/>
      <c r="V174" s="237"/>
      <c r="W174" s="236"/>
      <c r="X174" s="235">
        <f>P174*W$166</f>
        <v>0</v>
      </c>
      <c r="Z174" s="172"/>
      <c r="AA174" s="171"/>
      <c r="AB174" s="171"/>
      <c r="AC174" s="171"/>
      <c r="AD174" s="170"/>
      <c r="AE174" s="243"/>
      <c r="AF174" s="239"/>
      <c r="AG174" s="235"/>
      <c r="AH174" s="238"/>
      <c r="AI174" s="237"/>
      <c r="AJ174" s="237"/>
      <c r="AK174" s="237"/>
      <c r="AL174" s="237"/>
      <c r="AM174" s="237"/>
      <c r="AN174" s="236"/>
      <c r="AO174" s="235">
        <f>AG174*AN$166</f>
        <v>0</v>
      </c>
      <c r="AQ174" s="172"/>
      <c r="AR174" s="294"/>
      <c r="AS174" s="171"/>
      <c r="AT174" s="171"/>
      <c r="AU174" s="242"/>
      <c r="AV174" s="241"/>
      <c r="AW174" s="239"/>
      <c r="AX174" s="235"/>
      <c r="AY174" s="238"/>
      <c r="AZ174" s="237"/>
      <c r="BA174" s="237"/>
      <c r="BB174" s="237"/>
      <c r="BC174" s="237"/>
      <c r="BD174" s="237"/>
      <c r="BE174" s="236"/>
      <c r="BF174" s="235"/>
      <c r="BH174" s="167"/>
      <c r="BI174" s="166"/>
      <c r="BJ174" s="166"/>
      <c r="BK174" s="166"/>
      <c r="BL174" s="165"/>
      <c r="BM174" s="240"/>
      <c r="BN174" s="239"/>
      <c r="BO174" s="235">
        <f>SUM(BH174:BL174)</f>
        <v>0</v>
      </c>
      <c r="BP174" s="238"/>
      <c r="BQ174" s="237"/>
      <c r="BR174" s="237"/>
      <c r="BS174" s="237"/>
      <c r="BT174" s="237"/>
      <c r="BU174" s="237"/>
      <c r="BV174" s="236"/>
      <c r="BW174" s="235" t="e">
        <f>BO174*BV$166</f>
        <v>#REF!</v>
      </c>
      <c r="BY174" s="167"/>
      <c r="BZ174" s="166"/>
      <c r="CA174" s="166"/>
      <c r="CB174" s="166"/>
      <c r="CC174" s="165"/>
      <c r="CD174" s="240"/>
      <c r="CE174" s="239"/>
      <c r="CF174" s="235">
        <f>SUM(BY174:CC174)</f>
        <v>0</v>
      </c>
      <c r="CG174" s="238"/>
      <c r="CH174" s="237"/>
      <c r="CI174" s="237"/>
      <c r="CJ174" s="237"/>
      <c r="CK174" s="237"/>
      <c r="CL174" s="237"/>
      <c r="CM174" s="236"/>
      <c r="CN174" s="235" t="e">
        <f>CF174*CM$166</f>
        <v>#REF!</v>
      </c>
      <c r="CP174" s="6"/>
      <c r="CQ174" s="234">
        <f>SUMIF(I$1:CO$1,1,I174:CO174)</f>
        <v>0</v>
      </c>
      <c r="CR174" s="6"/>
      <c r="CS174" s="233" t="e">
        <f>SUMIF(I$1:CO$1,2,I174:CO174)</f>
        <v>#REF!</v>
      </c>
      <c r="CU174" s="233">
        <f>SUMIF(I$1:CO$1,3,I174:CO174)</f>
        <v>0</v>
      </c>
      <c r="CW174" s="270"/>
      <c r="CX174" s="270"/>
    </row>
    <row r="175" spans="1:102" ht="15" customHeight="1" thickBot="1" x14ac:dyDescent="0.3">
      <c r="A175" s="306"/>
      <c r="B175" s="231"/>
      <c r="C175" s="229"/>
      <c r="D175" s="230" t="s">
        <v>148</v>
      </c>
      <c r="E175" s="229"/>
      <c r="F175" s="289"/>
      <c r="G175" s="289"/>
      <c r="I175" s="227"/>
      <c r="J175" s="226"/>
      <c r="K175" s="226"/>
      <c r="L175" s="226"/>
      <c r="M175" s="225"/>
      <c r="N175" s="224"/>
      <c r="O175" s="218"/>
      <c r="P175" s="217"/>
      <c r="Q175" s="219"/>
      <c r="R175" s="219"/>
      <c r="S175" s="219"/>
      <c r="T175" s="219"/>
      <c r="U175" s="219"/>
      <c r="V175" s="219"/>
      <c r="W175" s="218"/>
      <c r="X175" s="217">
        <f>SUM(X166:X174)</f>
        <v>0</v>
      </c>
      <c r="Z175" s="304"/>
      <c r="AA175" s="305"/>
      <c r="AB175" s="305"/>
      <c r="AC175" s="305"/>
      <c r="AD175" s="289"/>
      <c r="AE175" s="224"/>
      <c r="AF175" s="218"/>
      <c r="AG175" s="217"/>
      <c r="AH175" s="219"/>
      <c r="AI175" s="219"/>
      <c r="AJ175" s="219"/>
      <c r="AK175" s="219"/>
      <c r="AL175" s="219"/>
      <c r="AM175" s="219"/>
      <c r="AN175" s="218"/>
      <c r="AO175" s="217">
        <f>SUM(AO166:AO174)</f>
        <v>0</v>
      </c>
      <c r="AQ175" s="304"/>
      <c r="AR175" s="226"/>
      <c r="AS175" s="226"/>
      <c r="AT175" s="226"/>
      <c r="AU175" s="226"/>
      <c r="AV175" s="223"/>
      <c r="AW175" s="218"/>
      <c r="AX175" s="217"/>
      <c r="AY175" s="219"/>
      <c r="AZ175" s="219"/>
      <c r="BA175" s="219"/>
      <c r="BB175" s="219"/>
      <c r="BC175" s="219"/>
      <c r="BD175" s="219"/>
      <c r="BE175" s="218"/>
      <c r="BF175" s="217"/>
      <c r="BH175" s="222"/>
      <c r="BI175" s="221"/>
      <c r="BJ175" s="221"/>
      <c r="BK175" s="221"/>
      <c r="BL175" s="221"/>
      <c r="BM175" s="220"/>
      <c r="BN175" s="218"/>
      <c r="BO175" s="217">
        <f>SUM(BO166:BO174)</f>
        <v>0</v>
      </c>
      <c r="BP175" s="219"/>
      <c r="BQ175" s="219"/>
      <c r="BR175" s="219"/>
      <c r="BS175" s="219"/>
      <c r="BT175" s="219"/>
      <c r="BU175" s="219"/>
      <c r="BV175" s="218"/>
      <c r="BW175" s="217" t="e">
        <f>SUM(BW166:BW174)</f>
        <v>#REF!</v>
      </c>
      <c r="BY175" s="222"/>
      <c r="BZ175" s="221"/>
      <c r="CA175" s="221"/>
      <c r="CB175" s="221"/>
      <c r="CC175" s="221"/>
      <c r="CD175" s="220"/>
      <c r="CE175" s="218"/>
      <c r="CF175" s="217">
        <f>SUM(CF166:CF174)</f>
        <v>0</v>
      </c>
      <c r="CG175" s="219"/>
      <c r="CH175" s="219"/>
      <c r="CI175" s="219"/>
      <c r="CJ175" s="219"/>
      <c r="CK175" s="219"/>
      <c r="CL175" s="219"/>
      <c r="CM175" s="218"/>
      <c r="CN175" s="217" t="e">
        <f>SUM(CN166:CN174)</f>
        <v>#REF!</v>
      </c>
      <c r="CP175" s="6"/>
      <c r="CQ175" s="139">
        <f>SUM(CQ166:CQ174)</f>
        <v>0</v>
      </c>
      <c r="CR175" s="6"/>
      <c r="CS175" s="139" t="e">
        <f>SUM(CS166:CS174)</f>
        <v>#REF!</v>
      </c>
      <c r="CU175" s="139"/>
      <c r="CW175" s="270"/>
      <c r="CX175" s="270"/>
    </row>
    <row r="176" spans="1:102" ht="15" customHeight="1" x14ac:dyDescent="0.25">
      <c r="A176" s="312" t="s">
        <v>291</v>
      </c>
      <c r="B176" s="311" t="s">
        <v>290</v>
      </c>
      <c r="C176" s="285" t="s">
        <v>289</v>
      </c>
      <c r="D176" s="286" t="s">
        <v>288</v>
      </c>
      <c r="E176" s="285" t="s">
        <v>232</v>
      </c>
      <c r="F176" s="316">
        <f>((0.0052*(1.014*1.012*1.015)*1.1/1.12)*1.028)*(1.058)</f>
        <v>5.7855053327728785E-3</v>
      </c>
      <c r="G176" s="262">
        <f>F176*$G$1</f>
        <v>0</v>
      </c>
      <c r="I176" s="182"/>
      <c r="J176" s="181"/>
      <c r="K176" s="181"/>
      <c r="L176" s="181"/>
      <c r="M176" s="180"/>
      <c r="N176" s="284">
        <f>SUM(I176:M176)</f>
        <v>0</v>
      </c>
      <c r="O176" s="276">
        <v>1</v>
      </c>
      <c r="P176" s="272"/>
      <c r="Q176" s="275"/>
      <c r="R176" s="274"/>
      <c r="S176" s="274"/>
      <c r="T176" s="274"/>
      <c r="U176" s="274"/>
      <c r="V176" s="274"/>
      <c r="W176" s="273"/>
      <c r="X176" s="272">
        <f>P176*W$176</f>
        <v>0</v>
      </c>
      <c r="Z176" s="182"/>
      <c r="AA176" s="181"/>
      <c r="AB176" s="181"/>
      <c r="AC176" s="181"/>
      <c r="AD176" s="180"/>
      <c r="AE176" s="284">
        <f>SUM(Z176:AD176)</f>
        <v>0</v>
      </c>
      <c r="AF176" s="276">
        <v>1</v>
      </c>
      <c r="AG176" s="272"/>
      <c r="AH176" s="275"/>
      <c r="AI176" s="274"/>
      <c r="AJ176" s="274"/>
      <c r="AK176" s="274"/>
      <c r="AL176" s="274"/>
      <c r="AM176" s="274"/>
      <c r="AN176" s="273"/>
      <c r="AO176" s="272">
        <f>AG176*AN$176</f>
        <v>0</v>
      </c>
      <c r="AQ176" s="182"/>
      <c r="AR176" s="301"/>
      <c r="AS176" s="181"/>
      <c r="AT176" s="181"/>
      <c r="AU176" s="282"/>
      <c r="AV176" s="281">
        <f>SUM(AQ176:AU176)</f>
        <v>0</v>
      </c>
      <c r="AW176" s="276">
        <v>1</v>
      </c>
      <c r="AX176" s="272"/>
      <c r="AY176" s="275"/>
      <c r="AZ176" s="274"/>
      <c r="BA176" s="274"/>
      <c r="BB176" s="274"/>
      <c r="BC176" s="274"/>
      <c r="BD176" s="274"/>
      <c r="BE176" s="273"/>
      <c r="BF176" s="272"/>
      <c r="BH176" s="179"/>
      <c r="BI176" s="178"/>
      <c r="BJ176" s="178"/>
      <c r="BK176" s="178"/>
      <c r="BL176" s="177"/>
      <c r="BM176" s="277">
        <f>SUM(BH176:BL176)</f>
        <v>0</v>
      </c>
      <c r="BN176" s="276">
        <v>1</v>
      </c>
      <c r="BO176" s="272">
        <f>$G176*BM176*BN176</f>
        <v>0</v>
      </c>
      <c r="BP176" s="275" t="e">
        <f>VLOOKUP(BP5,#REF!,12,FALSE)/100+1</f>
        <v>#REF!</v>
      </c>
      <c r="BQ176" s="274" t="e">
        <f>VLOOKUP(BQ5,#REF!,12,FALSE)/100+1</f>
        <v>#REF!</v>
      </c>
      <c r="BR176" s="274" t="e">
        <f>VLOOKUP(BR5,#REF!,12,FALSE)/100+1</f>
        <v>#REF!</v>
      </c>
      <c r="BS176" s="274" t="e">
        <f>VLOOKUP(BS5,#REF!,12,FALSE)/100+1</f>
        <v>#REF!</v>
      </c>
      <c r="BT176" s="274" t="e">
        <f>VLOOKUP(BT5,#REF!,12,FALSE)/100+1</f>
        <v>#REF!</v>
      </c>
      <c r="BU176" s="274" t="e">
        <f>VLOOKUP(BU5,#REF!,12,FALSE)/100+1</f>
        <v>#REF!</v>
      </c>
      <c r="BV176" s="273" t="e">
        <f>BP176*BQ176*BR176*BS176*BT176*BU176</f>
        <v>#REF!</v>
      </c>
      <c r="BW176" s="272" t="e">
        <f>BO176*BV$176</f>
        <v>#REF!</v>
      </c>
      <c r="BY176" s="179"/>
      <c r="BZ176" s="178"/>
      <c r="CA176" s="178"/>
      <c r="CB176" s="178"/>
      <c r="CC176" s="177"/>
      <c r="CD176" s="277">
        <f>SUM(BY176:CC176)</f>
        <v>0</v>
      </c>
      <c r="CE176" s="276">
        <v>1</v>
      </c>
      <c r="CF176" s="272">
        <f>$G176*CD176*CE176</f>
        <v>0</v>
      </c>
      <c r="CG176" s="275" t="e">
        <f>VLOOKUP(CG5,#REF!,12,FALSE)/100+1</f>
        <v>#REF!</v>
      </c>
      <c r="CH176" s="274" t="e">
        <f>VLOOKUP(CH5,#REF!,12,FALSE)/100+1</f>
        <v>#REF!</v>
      </c>
      <c r="CI176" s="274" t="e">
        <f>VLOOKUP(CI5,#REF!,12,FALSE)/100+1</f>
        <v>#REF!</v>
      </c>
      <c r="CJ176" s="274" t="e">
        <f>VLOOKUP(CJ5,#REF!,12,FALSE)/100+1</f>
        <v>#REF!</v>
      </c>
      <c r="CK176" s="274" t="e">
        <f>VLOOKUP(CK5,#REF!,12,FALSE)/100+1</f>
        <v>#REF!</v>
      </c>
      <c r="CL176" s="274" t="e">
        <f>VLOOKUP(CL5,#REF!,12,FALSE)/100+1</f>
        <v>#REF!</v>
      </c>
      <c r="CM176" s="273" t="e">
        <f>CG176*CH176*CI176*CJ176*CK176*CL176</f>
        <v>#REF!</v>
      </c>
      <c r="CN176" s="272" t="e">
        <f>CF176*CM$176</f>
        <v>#REF!</v>
      </c>
      <c r="CP176" s="6"/>
      <c r="CQ176" s="271">
        <f>SUMIF(I$1:CO$1,1,I176:CO176)</f>
        <v>0</v>
      </c>
      <c r="CR176" s="6"/>
      <c r="CS176" s="271" t="e">
        <f>SUMIF(I$1:CO$1,2,I176:CO176)</f>
        <v>#REF!</v>
      </c>
      <c r="CU176" s="271">
        <f>SUMIF(I$1:CO$1,3,I176:CO176)</f>
        <v>0</v>
      </c>
      <c r="CW176" s="270"/>
      <c r="CX176" s="270"/>
    </row>
    <row r="177" spans="1:102" ht="15" customHeight="1" x14ac:dyDescent="0.25">
      <c r="A177" s="307"/>
      <c r="B177" s="75"/>
      <c r="C177" s="72" t="s">
        <v>287</v>
      </c>
      <c r="D177" s="265" t="s">
        <v>286</v>
      </c>
      <c r="E177" s="72" t="s">
        <v>232</v>
      </c>
      <c r="F177" s="263">
        <f>((0.004*(1.014*1.012*1.015)*1.1/1.12)*1.028)*(1.058)</f>
        <v>4.4503887175175987E-3</v>
      </c>
      <c r="G177" s="262">
        <f>F177*$G$1</f>
        <v>0</v>
      </c>
      <c r="I177" s="172"/>
      <c r="J177" s="171"/>
      <c r="K177" s="171"/>
      <c r="L177" s="171"/>
      <c r="M177" s="170"/>
      <c r="N177" s="243">
        <f>SUM(I177:M177)</f>
        <v>0</v>
      </c>
      <c r="O177" s="183">
        <v>1</v>
      </c>
      <c r="P177" s="235"/>
      <c r="Q177" s="249"/>
      <c r="R177" s="248"/>
      <c r="S177" s="248"/>
      <c r="T177" s="248"/>
      <c r="U177" s="248"/>
      <c r="V177" s="248"/>
      <c r="W177" s="247"/>
      <c r="X177" s="235">
        <f>P177*W$176</f>
        <v>0</v>
      </c>
      <c r="Z177" s="172"/>
      <c r="AA177" s="171"/>
      <c r="AB177" s="171"/>
      <c r="AC177" s="171"/>
      <c r="AD177" s="170"/>
      <c r="AE177" s="243">
        <f>SUM(Z177:AD177)</f>
        <v>0</v>
      </c>
      <c r="AF177" s="183">
        <v>1</v>
      </c>
      <c r="AG177" s="235"/>
      <c r="AH177" s="249"/>
      <c r="AI177" s="248"/>
      <c r="AJ177" s="248"/>
      <c r="AK177" s="248"/>
      <c r="AL177" s="248"/>
      <c r="AM177" s="248"/>
      <c r="AN177" s="247"/>
      <c r="AO177" s="235">
        <f>AG177*AN$176</f>
        <v>0</v>
      </c>
      <c r="AQ177" s="172"/>
      <c r="AR177" s="294"/>
      <c r="AS177" s="171"/>
      <c r="AT177" s="171"/>
      <c r="AU177" s="242"/>
      <c r="AV177" s="241">
        <f>SUM(AQ177:AU177)</f>
        <v>0</v>
      </c>
      <c r="AW177" s="183">
        <v>1</v>
      </c>
      <c r="AX177" s="235"/>
      <c r="AY177" s="249"/>
      <c r="AZ177" s="248"/>
      <c r="BA177" s="248"/>
      <c r="BB177" s="248"/>
      <c r="BC177" s="248"/>
      <c r="BD177" s="248"/>
      <c r="BE177" s="247"/>
      <c r="BF177" s="235"/>
      <c r="BH177" s="167"/>
      <c r="BI177" s="166"/>
      <c r="BJ177" s="166"/>
      <c r="BK177" s="166"/>
      <c r="BL177" s="165"/>
      <c r="BM177" s="240">
        <f>SUM(BH177:BL177)</f>
        <v>0</v>
      </c>
      <c r="BN177" s="183">
        <v>1</v>
      </c>
      <c r="BO177" s="235">
        <f>$G177*BM177*BN177</f>
        <v>0</v>
      </c>
      <c r="BP177" s="249"/>
      <c r="BQ177" s="248"/>
      <c r="BR177" s="248"/>
      <c r="BS177" s="248"/>
      <c r="BT177" s="248"/>
      <c r="BU177" s="248"/>
      <c r="BV177" s="247"/>
      <c r="BW177" s="235" t="e">
        <f>BO177*BV$176</f>
        <v>#REF!</v>
      </c>
      <c r="BY177" s="167"/>
      <c r="BZ177" s="166"/>
      <c r="CA177" s="166"/>
      <c r="CB177" s="166"/>
      <c r="CC177" s="165"/>
      <c r="CD177" s="240">
        <f>SUM(BY177:CC177)</f>
        <v>0</v>
      </c>
      <c r="CE177" s="183">
        <v>1</v>
      </c>
      <c r="CF177" s="235">
        <f>$G177*CD177*CE177</f>
        <v>0</v>
      </c>
      <c r="CG177" s="249"/>
      <c r="CH177" s="248"/>
      <c r="CI177" s="248"/>
      <c r="CJ177" s="248"/>
      <c r="CK177" s="248"/>
      <c r="CL177" s="248"/>
      <c r="CM177" s="247"/>
      <c r="CN177" s="235" t="e">
        <f>CF177*CM$176</f>
        <v>#REF!</v>
      </c>
      <c r="CP177" s="6"/>
      <c r="CQ177" s="234">
        <f>SUMIF(I$1:CO$1,1,I177:CO177)</f>
        <v>0</v>
      </c>
      <c r="CR177" s="6"/>
      <c r="CS177" s="233" t="e">
        <f>SUMIF(I$1:CO$1,2,I177:CO177)</f>
        <v>#REF!</v>
      </c>
      <c r="CU177" s="233">
        <f>SUMIF(I$1:CO$1,3,I177:CO177)</f>
        <v>0</v>
      </c>
      <c r="CW177" s="270"/>
      <c r="CX177" s="270"/>
    </row>
    <row r="178" spans="1:102" ht="15" customHeight="1" x14ac:dyDescent="0.25">
      <c r="A178" s="307"/>
      <c r="B178" s="75"/>
      <c r="C178" s="72" t="s">
        <v>285</v>
      </c>
      <c r="D178" s="265" t="s">
        <v>284</v>
      </c>
      <c r="E178" s="72" t="s">
        <v>232</v>
      </c>
      <c r="F178" s="263">
        <f>((0.00315*(1.014*1.012*1.015)*1.1/1.12)*1.028)*(1.058)</f>
        <v>3.5046811150451092E-3</v>
      </c>
      <c r="G178" s="262">
        <f>F178*$G$1</f>
        <v>0</v>
      </c>
      <c r="I178" s="172"/>
      <c r="J178" s="171"/>
      <c r="K178" s="171">
        <v>7765</v>
      </c>
      <c r="L178" s="171"/>
      <c r="M178" s="170"/>
      <c r="N178" s="243">
        <f>SUM(I178:M178)</f>
        <v>7765</v>
      </c>
      <c r="O178" s="183">
        <v>1</v>
      </c>
      <c r="P178" s="235"/>
      <c r="Q178" s="249"/>
      <c r="R178" s="248"/>
      <c r="S178" s="248"/>
      <c r="T178" s="248"/>
      <c r="U178" s="248"/>
      <c r="V178" s="248"/>
      <c r="W178" s="247"/>
      <c r="X178" s="235">
        <f>P178*W$176</f>
        <v>0</v>
      </c>
      <c r="Z178" s="172"/>
      <c r="AA178" s="171"/>
      <c r="AB178" s="171"/>
      <c r="AC178" s="171">
        <v>5360</v>
      </c>
      <c r="AD178" s="170"/>
      <c r="AE178" s="243">
        <f>SUM(Z178:AD178)</f>
        <v>5360</v>
      </c>
      <c r="AF178" s="183">
        <v>1</v>
      </c>
      <c r="AG178" s="235"/>
      <c r="AH178" s="249"/>
      <c r="AI178" s="248"/>
      <c r="AJ178" s="248"/>
      <c r="AK178" s="248"/>
      <c r="AL178" s="248"/>
      <c r="AM178" s="248"/>
      <c r="AN178" s="247"/>
      <c r="AO178" s="235">
        <f>AG178*AN$176</f>
        <v>0</v>
      </c>
      <c r="AQ178" s="172"/>
      <c r="AR178" s="294"/>
      <c r="AS178" s="171"/>
      <c r="AT178" s="171"/>
      <c r="AU178" s="242"/>
      <c r="AV178" s="241">
        <f>SUM(AQ178:AU178)</f>
        <v>0</v>
      </c>
      <c r="AW178" s="183">
        <v>1</v>
      </c>
      <c r="AX178" s="235"/>
      <c r="AY178" s="249"/>
      <c r="AZ178" s="248"/>
      <c r="BA178" s="248"/>
      <c r="BB178" s="248"/>
      <c r="BC178" s="248"/>
      <c r="BD178" s="248"/>
      <c r="BE178" s="247"/>
      <c r="BF178" s="235"/>
      <c r="BH178" s="167"/>
      <c r="BI178" s="166"/>
      <c r="BJ178" s="166"/>
      <c r="BK178" s="166"/>
      <c r="BL178" s="165"/>
      <c r="BM178" s="240">
        <f>SUM(BH178:BL178)</f>
        <v>0</v>
      </c>
      <c r="BN178" s="183">
        <v>1</v>
      </c>
      <c r="BO178" s="235">
        <f>$G178*BM178*BN178</f>
        <v>0</v>
      </c>
      <c r="BP178" s="249"/>
      <c r="BQ178" s="248"/>
      <c r="BR178" s="248"/>
      <c r="BS178" s="248"/>
      <c r="BT178" s="248"/>
      <c r="BU178" s="248"/>
      <c r="BV178" s="247"/>
      <c r="BW178" s="235" t="e">
        <f>BO178*BV$176</f>
        <v>#REF!</v>
      </c>
      <c r="BY178" s="167"/>
      <c r="BZ178" s="166"/>
      <c r="CA178" s="166"/>
      <c r="CB178" s="166"/>
      <c r="CC178" s="165"/>
      <c r="CD178" s="240">
        <f>SUM(BY178:CC178)</f>
        <v>0</v>
      </c>
      <c r="CE178" s="183">
        <v>1</v>
      </c>
      <c r="CF178" s="235">
        <f>$G178*CD178*CE178</f>
        <v>0</v>
      </c>
      <c r="CG178" s="249"/>
      <c r="CH178" s="248"/>
      <c r="CI178" s="248"/>
      <c r="CJ178" s="248"/>
      <c r="CK178" s="248"/>
      <c r="CL178" s="248"/>
      <c r="CM178" s="247"/>
      <c r="CN178" s="235" t="e">
        <f>CF178*CM$176</f>
        <v>#REF!</v>
      </c>
      <c r="CP178" s="6"/>
      <c r="CQ178" s="234">
        <f>SUMIF(I$1:CO$1,1,I178:CO178)</f>
        <v>0</v>
      </c>
      <c r="CR178" s="6"/>
      <c r="CS178" s="233" t="e">
        <f>SUMIF(I$1:CO$1,2,I178:CO178)</f>
        <v>#REF!</v>
      </c>
      <c r="CU178" s="233">
        <f>SUMIF(I$1:CO$1,3,I178:CO178)</f>
        <v>5360</v>
      </c>
      <c r="CW178" s="270"/>
      <c r="CX178" s="270"/>
    </row>
    <row r="179" spans="1:102" ht="15" customHeight="1" x14ac:dyDescent="0.25">
      <c r="A179" s="307"/>
      <c r="B179" s="75"/>
      <c r="C179" s="72" t="s">
        <v>283</v>
      </c>
      <c r="D179" s="265" t="s">
        <v>282</v>
      </c>
      <c r="E179" s="72" t="s">
        <v>232</v>
      </c>
      <c r="F179" s="263">
        <f>((0.00245*(1.014*1.012*1.015)*1.1/1.12)*1.028)*(1.058)</f>
        <v>2.7258630894795291E-3</v>
      </c>
      <c r="G179" s="262">
        <f>F179*$G$1</f>
        <v>0</v>
      </c>
      <c r="I179" s="172"/>
      <c r="J179" s="171"/>
      <c r="K179" s="171">
        <v>32486.965032021661</v>
      </c>
      <c r="L179" s="171">
        <v>465.29450246240077</v>
      </c>
      <c r="M179" s="170">
        <v>10019.965909298511</v>
      </c>
      <c r="N179" s="243">
        <f>SUM(I179:M179)</f>
        <v>42972.225443782569</v>
      </c>
      <c r="O179" s="183">
        <v>1</v>
      </c>
      <c r="P179" s="235"/>
      <c r="Q179" s="249"/>
      <c r="R179" s="248"/>
      <c r="S179" s="248"/>
      <c r="T179" s="248"/>
      <c r="U179" s="248"/>
      <c r="V179" s="248"/>
      <c r="W179" s="247"/>
      <c r="X179" s="235">
        <f>P179*W$176</f>
        <v>0</v>
      </c>
      <c r="Z179" s="172"/>
      <c r="AA179" s="171">
        <v>5028.2961983307387</v>
      </c>
      <c r="AB179" s="171">
        <v>16.711587671374168</v>
      </c>
      <c r="AC179" s="171">
        <v>8473.7602446535002</v>
      </c>
      <c r="AD179" s="170">
        <v>15941.602697403685</v>
      </c>
      <c r="AE179" s="243">
        <f>SUM(Z179:AD179)</f>
        <v>29460.370728059301</v>
      </c>
      <c r="AF179" s="183">
        <v>1</v>
      </c>
      <c r="AG179" s="235"/>
      <c r="AH179" s="249"/>
      <c r="AI179" s="248"/>
      <c r="AJ179" s="248"/>
      <c r="AK179" s="248"/>
      <c r="AL179" s="248"/>
      <c r="AM179" s="248"/>
      <c r="AN179" s="247"/>
      <c r="AO179" s="235">
        <f>AG179*AN$176</f>
        <v>0</v>
      </c>
      <c r="AQ179" s="172">
        <v>5083.8441349033392</v>
      </c>
      <c r="AR179" s="294"/>
      <c r="AS179" s="171"/>
      <c r="AT179" s="171"/>
      <c r="AU179" s="242"/>
      <c r="AV179" s="241">
        <f>SUM(AQ179:AU179)</f>
        <v>5083.8441349033392</v>
      </c>
      <c r="AW179" s="183">
        <v>1</v>
      </c>
      <c r="AX179" s="235"/>
      <c r="AY179" s="249"/>
      <c r="AZ179" s="248"/>
      <c r="BA179" s="248"/>
      <c r="BB179" s="248"/>
      <c r="BC179" s="248"/>
      <c r="BD179" s="248"/>
      <c r="BE179" s="247"/>
      <c r="BF179" s="235"/>
      <c r="BH179" s="167"/>
      <c r="BI179" s="166"/>
      <c r="BJ179" s="166"/>
      <c r="BK179" s="166"/>
      <c r="BL179" s="165"/>
      <c r="BM179" s="240">
        <f>SUM(BH179:BL179)</f>
        <v>0</v>
      </c>
      <c r="BN179" s="183">
        <v>1</v>
      </c>
      <c r="BO179" s="235">
        <f>$G179*BM179*BN179</f>
        <v>0</v>
      </c>
      <c r="BP179" s="249"/>
      <c r="BQ179" s="248"/>
      <c r="BR179" s="248"/>
      <c r="BS179" s="248"/>
      <c r="BT179" s="248"/>
      <c r="BU179" s="248"/>
      <c r="BV179" s="247"/>
      <c r="BW179" s="235" t="e">
        <f>BO179*BV$176</f>
        <v>#REF!</v>
      </c>
      <c r="BY179" s="167"/>
      <c r="BZ179" s="166"/>
      <c r="CA179" s="166"/>
      <c r="CB179" s="166"/>
      <c r="CC179" s="165"/>
      <c r="CD179" s="240">
        <f>SUM(BY179:CC179)</f>
        <v>0</v>
      </c>
      <c r="CE179" s="183">
        <v>1</v>
      </c>
      <c r="CF179" s="235">
        <f>$G179*CD179*CE179</f>
        <v>0</v>
      </c>
      <c r="CG179" s="249"/>
      <c r="CH179" s="248"/>
      <c r="CI179" s="248"/>
      <c r="CJ179" s="248"/>
      <c r="CK179" s="248"/>
      <c r="CL179" s="248"/>
      <c r="CM179" s="247"/>
      <c r="CN179" s="235" t="e">
        <f>CF179*CM$176</f>
        <v>#REF!</v>
      </c>
      <c r="CP179" s="6"/>
      <c r="CQ179" s="234">
        <f>SUMIF(I$1:CO$1,1,I179:CO179)</f>
        <v>0</v>
      </c>
      <c r="CR179" s="6"/>
      <c r="CS179" s="233" t="e">
        <f>SUMIF(I$1:CO$1,2,I179:CO179)</f>
        <v>#REF!</v>
      </c>
      <c r="CU179" s="233">
        <f>SUMIF(I$1:CO$1,3,I179:CO179)</f>
        <v>34544.214862962639</v>
      </c>
      <c r="CW179" s="270"/>
      <c r="CX179" s="270"/>
    </row>
    <row r="180" spans="1:102" ht="15" customHeight="1" x14ac:dyDescent="0.25">
      <c r="A180" s="307"/>
      <c r="B180" s="75"/>
      <c r="C180" s="72" t="s">
        <v>281</v>
      </c>
      <c r="D180" s="265" t="s">
        <v>280</v>
      </c>
      <c r="E180" s="264" t="s">
        <v>232</v>
      </c>
      <c r="F180" s="263">
        <f>((0.0023*(1.014*1.012*1.015)*1.1/1.12)*1.028)*(1.058)</f>
        <v>2.5589735125726197E-3</v>
      </c>
      <c r="G180" s="262">
        <f>F180*$G$1</f>
        <v>0</v>
      </c>
      <c r="I180" s="172"/>
      <c r="J180" s="171"/>
      <c r="K180" s="171">
        <v>58.763808715168395</v>
      </c>
      <c r="L180" s="171"/>
      <c r="M180" s="170">
        <v>48.901174390897019</v>
      </c>
      <c r="N180" s="243">
        <f>SUM(I180:M180)</f>
        <v>107.66498310606542</v>
      </c>
      <c r="O180" s="183">
        <v>1</v>
      </c>
      <c r="P180" s="235"/>
      <c r="Q180" s="249"/>
      <c r="R180" s="248"/>
      <c r="S180" s="248"/>
      <c r="T180" s="248"/>
      <c r="U180" s="248"/>
      <c r="V180" s="248"/>
      <c r="W180" s="247"/>
      <c r="X180" s="235">
        <f>P180*W$176</f>
        <v>0</v>
      </c>
      <c r="Z180" s="172">
        <v>7980.9481691227265</v>
      </c>
      <c r="AA180" s="171">
        <v>220.49115288917554</v>
      </c>
      <c r="AB180" s="171">
        <v>1437.0288211006418</v>
      </c>
      <c r="AC180" s="171">
        <v>87.757102172673271</v>
      </c>
      <c r="AD180" s="170">
        <v>943.85377892083898</v>
      </c>
      <c r="AE180" s="243">
        <f>SUM(Z180:AD180)</f>
        <v>10670.079024206054</v>
      </c>
      <c r="AF180" s="183">
        <v>1</v>
      </c>
      <c r="AG180" s="235"/>
      <c r="AH180" s="249"/>
      <c r="AI180" s="248"/>
      <c r="AJ180" s="248"/>
      <c r="AK180" s="248"/>
      <c r="AL180" s="248"/>
      <c r="AM180" s="248"/>
      <c r="AN180" s="247"/>
      <c r="AO180" s="235">
        <f>AG180*AN$176</f>
        <v>0</v>
      </c>
      <c r="AQ180" s="172">
        <v>94.340706855264486</v>
      </c>
      <c r="AR180" s="294"/>
      <c r="AS180" s="171"/>
      <c r="AT180" s="171"/>
      <c r="AU180" s="242"/>
      <c r="AV180" s="241">
        <f>SUM(AQ180:AU180)</f>
        <v>94.340706855264486</v>
      </c>
      <c r="AW180" s="183">
        <v>1</v>
      </c>
      <c r="AX180" s="235"/>
      <c r="AY180" s="249"/>
      <c r="AZ180" s="248"/>
      <c r="BA180" s="248"/>
      <c r="BB180" s="248"/>
      <c r="BC180" s="248"/>
      <c r="BD180" s="248"/>
      <c r="BE180" s="247"/>
      <c r="BF180" s="235"/>
      <c r="BH180" s="167"/>
      <c r="BI180" s="166"/>
      <c r="BJ180" s="166"/>
      <c r="BK180" s="166"/>
      <c r="BL180" s="165"/>
      <c r="BM180" s="240">
        <f>SUM(BH180:BL180)</f>
        <v>0</v>
      </c>
      <c r="BN180" s="183">
        <v>1</v>
      </c>
      <c r="BO180" s="235">
        <f>$G180*BM180*BN180</f>
        <v>0</v>
      </c>
      <c r="BP180" s="249"/>
      <c r="BQ180" s="248"/>
      <c r="BR180" s="248"/>
      <c r="BS180" s="248"/>
      <c r="BT180" s="248"/>
      <c r="BU180" s="248"/>
      <c r="BV180" s="247"/>
      <c r="BW180" s="235" t="e">
        <f>BO180*BV$176</f>
        <v>#REF!</v>
      </c>
      <c r="BY180" s="167"/>
      <c r="BZ180" s="166"/>
      <c r="CA180" s="166"/>
      <c r="CB180" s="166"/>
      <c r="CC180" s="165"/>
      <c r="CD180" s="240">
        <f>SUM(BY180:CC180)</f>
        <v>0</v>
      </c>
      <c r="CE180" s="183">
        <v>1</v>
      </c>
      <c r="CF180" s="235">
        <f>$G180*CD180*CE180</f>
        <v>0</v>
      </c>
      <c r="CG180" s="249"/>
      <c r="CH180" s="248"/>
      <c r="CI180" s="248"/>
      <c r="CJ180" s="248"/>
      <c r="CK180" s="248"/>
      <c r="CL180" s="248"/>
      <c r="CM180" s="247"/>
      <c r="CN180" s="235" t="e">
        <f>CF180*CM$176</f>
        <v>#REF!</v>
      </c>
      <c r="CP180" s="6"/>
      <c r="CQ180" s="234">
        <f>SUMIF(I$1:CO$1,1,I180:CO180)</f>
        <v>0</v>
      </c>
      <c r="CR180" s="6"/>
      <c r="CS180" s="233" t="e">
        <f>SUMIF(I$1:CO$1,2,I180:CO180)</f>
        <v>#REF!</v>
      </c>
      <c r="CU180" s="233">
        <f>SUMIF(I$1:CO$1,3,I180:CO180)</f>
        <v>10764.419731061318</v>
      </c>
      <c r="CW180" s="270"/>
      <c r="CX180" s="270"/>
    </row>
    <row r="181" spans="1:102" ht="15" customHeight="1" x14ac:dyDescent="0.25">
      <c r="A181" s="307"/>
      <c r="B181" s="75"/>
      <c r="C181" s="72" t="s">
        <v>279</v>
      </c>
      <c r="D181" s="265" t="s">
        <v>278</v>
      </c>
      <c r="E181" s="264" t="s">
        <v>232</v>
      </c>
      <c r="F181" s="263">
        <f>((0.002*(1.014*1.012*1.015)*1.1/1.12)*1.028)*(1.058)</f>
        <v>2.2251943587587994E-3</v>
      </c>
      <c r="G181" s="262">
        <f>F181*$G$1</f>
        <v>0</v>
      </c>
      <c r="I181" s="172"/>
      <c r="J181" s="171"/>
      <c r="K181" s="171"/>
      <c r="L181" s="171"/>
      <c r="M181" s="170">
        <v>90.545465930618803</v>
      </c>
      <c r="N181" s="243">
        <f>SUM(I181:M181)</f>
        <v>90.545465930618803</v>
      </c>
      <c r="O181" s="183">
        <v>1</v>
      </c>
      <c r="P181" s="235"/>
      <c r="Q181" s="249"/>
      <c r="R181" s="248"/>
      <c r="S181" s="248"/>
      <c r="T181" s="248"/>
      <c r="U181" s="248"/>
      <c r="V181" s="248"/>
      <c r="W181" s="247"/>
      <c r="X181" s="235">
        <f>P181*W$176</f>
        <v>0</v>
      </c>
      <c r="Z181" s="172"/>
      <c r="AA181" s="171">
        <v>159.94869778410208</v>
      </c>
      <c r="AB181" s="171">
        <v>41.650132553677764</v>
      </c>
      <c r="AC181" s="171">
        <v>105.42692555218231</v>
      </c>
      <c r="AD181" s="170">
        <v>813.95573508926304</v>
      </c>
      <c r="AE181" s="243">
        <f>SUM(Z181:AD181)</f>
        <v>1120.9814909792253</v>
      </c>
      <c r="AF181" s="183">
        <v>1</v>
      </c>
      <c r="AG181" s="235"/>
      <c r="AH181" s="249"/>
      <c r="AI181" s="248"/>
      <c r="AJ181" s="248"/>
      <c r="AK181" s="248"/>
      <c r="AL181" s="248"/>
      <c r="AM181" s="248"/>
      <c r="AN181" s="247"/>
      <c r="AO181" s="235">
        <f>AG181*AN$176</f>
        <v>0</v>
      </c>
      <c r="AQ181" s="172"/>
      <c r="AR181" s="294"/>
      <c r="AS181" s="171"/>
      <c r="AT181" s="171"/>
      <c r="AU181" s="242"/>
      <c r="AV181" s="241">
        <f>SUM(AQ181:AU181)</f>
        <v>0</v>
      </c>
      <c r="AW181" s="183">
        <v>1</v>
      </c>
      <c r="AX181" s="235"/>
      <c r="AY181" s="249"/>
      <c r="AZ181" s="248"/>
      <c r="BA181" s="248"/>
      <c r="BB181" s="248"/>
      <c r="BC181" s="248"/>
      <c r="BD181" s="248"/>
      <c r="BE181" s="247"/>
      <c r="BF181" s="235"/>
      <c r="BH181" s="167"/>
      <c r="BI181" s="166"/>
      <c r="BJ181" s="166"/>
      <c r="BK181" s="166"/>
      <c r="BL181" s="165"/>
      <c r="BM181" s="240">
        <f>SUM(BH181:BL181)</f>
        <v>0</v>
      </c>
      <c r="BN181" s="183">
        <v>1</v>
      </c>
      <c r="BO181" s="235">
        <f>$G181*BM181*BN181</f>
        <v>0</v>
      </c>
      <c r="BP181" s="249"/>
      <c r="BQ181" s="248"/>
      <c r="BR181" s="248"/>
      <c r="BS181" s="248"/>
      <c r="BT181" s="248"/>
      <c r="BU181" s="248"/>
      <c r="BV181" s="247"/>
      <c r="BW181" s="235" t="e">
        <f>BO181*BV$176</f>
        <v>#REF!</v>
      </c>
      <c r="BY181" s="167"/>
      <c r="BZ181" s="166"/>
      <c r="CA181" s="166"/>
      <c r="CB181" s="166"/>
      <c r="CC181" s="165"/>
      <c r="CD181" s="240">
        <f>SUM(BY181:CC181)</f>
        <v>0</v>
      </c>
      <c r="CE181" s="183">
        <v>1</v>
      </c>
      <c r="CF181" s="235">
        <f>$G181*CD181*CE181</f>
        <v>0</v>
      </c>
      <c r="CG181" s="249"/>
      <c r="CH181" s="248"/>
      <c r="CI181" s="248"/>
      <c r="CJ181" s="248"/>
      <c r="CK181" s="248"/>
      <c r="CL181" s="248"/>
      <c r="CM181" s="247"/>
      <c r="CN181" s="235" t="e">
        <f>CF181*CM$176</f>
        <v>#REF!</v>
      </c>
      <c r="CP181" s="6"/>
      <c r="CQ181" s="234">
        <f>SUMIF(I$1:CO$1,1,I181:CO181)</f>
        <v>0</v>
      </c>
      <c r="CR181" s="6"/>
      <c r="CS181" s="233" t="e">
        <f>SUMIF(I$1:CO$1,2,I181:CO181)</f>
        <v>#REF!</v>
      </c>
      <c r="CU181" s="233">
        <f>SUMIF(I$1:CO$1,3,I181:CO181)</f>
        <v>1120.9814909792253</v>
      </c>
      <c r="CW181" s="270"/>
      <c r="CX181" s="270"/>
    </row>
    <row r="182" spans="1:102" ht="15" customHeight="1" x14ac:dyDescent="0.25">
      <c r="A182" s="307"/>
      <c r="B182" s="73"/>
      <c r="C182" s="72" t="s">
        <v>277</v>
      </c>
      <c r="D182" s="265" t="s">
        <v>276</v>
      </c>
      <c r="E182" s="264" t="s">
        <v>232</v>
      </c>
      <c r="F182" s="263">
        <f>((0.0019*(1.014*1.012*1.015)*1.1/1.12)*1.028)*(1.058)</f>
        <v>2.11393464082086E-3</v>
      </c>
      <c r="G182" s="262">
        <f>F182*$G$1</f>
        <v>0</v>
      </c>
      <c r="I182" s="172"/>
      <c r="J182" s="171"/>
      <c r="K182" s="171"/>
      <c r="L182" s="171"/>
      <c r="M182" s="170"/>
      <c r="N182" s="243">
        <f>SUM(I182:M182)</f>
        <v>0</v>
      </c>
      <c r="O182" s="183">
        <v>1</v>
      </c>
      <c r="P182" s="235"/>
      <c r="Q182" s="249"/>
      <c r="R182" s="248"/>
      <c r="S182" s="248"/>
      <c r="T182" s="248"/>
      <c r="U182" s="248"/>
      <c r="V182" s="248"/>
      <c r="W182" s="247"/>
      <c r="X182" s="235">
        <f>P182*W$176</f>
        <v>0</v>
      </c>
      <c r="Z182" s="172"/>
      <c r="AA182" s="171"/>
      <c r="AB182" s="171"/>
      <c r="AC182" s="171"/>
      <c r="AD182" s="170"/>
      <c r="AE182" s="243">
        <f>SUM(Z182:AD182)</f>
        <v>0</v>
      </c>
      <c r="AF182" s="183">
        <v>1</v>
      </c>
      <c r="AG182" s="235"/>
      <c r="AH182" s="249"/>
      <c r="AI182" s="248"/>
      <c r="AJ182" s="248"/>
      <c r="AK182" s="248"/>
      <c r="AL182" s="248"/>
      <c r="AM182" s="248"/>
      <c r="AN182" s="247"/>
      <c r="AO182" s="235">
        <f>AG182*AN$176</f>
        <v>0</v>
      </c>
      <c r="AQ182" s="172"/>
      <c r="AR182" s="294"/>
      <c r="AS182" s="171"/>
      <c r="AT182" s="171"/>
      <c r="AU182" s="242"/>
      <c r="AV182" s="241">
        <f>SUM(AQ182:AU182)</f>
        <v>0</v>
      </c>
      <c r="AW182" s="183">
        <v>1</v>
      </c>
      <c r="AX182" s="235"/>
      <c r="AY182" s="249"/>
      <c r="AZ182" s="248"/>
      <c r="BA182" s="248"/>
      <c r="BB182" s="248"/>
      <c r="BC182" s="248"/>
      <c r="BD182" s="248"/>
      <c r="BE182" s="247"/>
      <c r="BF182" s="235"/>
      <c r="BH182" s="167"/>
      <c r="BI182" s="166"/>
      <c r="BJ182" s="166"/>
      <c r="BK182" s="166"/>
      <c r="BL182" s="165"/>
      <c r="BM182" s="240">
        <f>SUM(BH182:BL182)</f>
        <v>0</v>
      </c>
      <c r="BN182" s="183">
        <v>1</v>
      </c>
      <c r="BO182" s="235">
        <f>$G182*BM182*BN182</f>
        <v>0</v>
      </c>
      <c r="BP182" s="249"/>
      <c r="BQ182" s="248"/>
      <c r="BR182" s="248"/>
      <c r="BS182" s="248"/>
      <c r="BT182" s="248"/>
      <c r="BU182" s="248"/>
      <c r="BV182" s="247"/>
      <c r="BW182" s="235" t="e">
        <f>BO182*BV$176</f>
        <v>#REF!</v>
      </c>
      <c r="BY182" s="167"/>
      <c r="BZ182" s="166"/>
      <c r="CA182" s="166"/>
      <c r="CB182" s="166"/>
      <c r="CC182" s="165"/>
      <c r="CD182" s="240">
        <f>SUM(BY182:CC182)</f>
        <v>0</v>
      </c>
      <c r="CE182" s="183">
        <v>1</v>
      </c>
      <c r="CF182" s="235">
        <f>$G182*CD182*CE182</f>
        <v>0</v>
      </c>
      <c r="CG182" s="249"/>
      <c r="CH182" s="248"/>
      <c r="CI182" s="248"/>
      <c r="CJ182" s="248"/>
      <c r="CK182" s="248"/>
      <c r="CL182" s="248"/>
      <c r="CM182" s="247"/>
      <c r="CN182" s="235" t="e">
        <f>CF182*CM$176</f>
        <v>#REF!</v>
      </c>
      <c r="CP182" s="6"/>
      <c r="CQ182" s="234">
        <f>SUMIF(I$1:CO$1,1,I182:CO182)</f>
        <v>0</v>
      </c>
      <c r="CR182" s="6"/>
      <c r="CS182" s="233" t="e">
        <f>SUMIF(I$1:CO$1,2,I182:CO182)</f>
        <v>#REF!</v>
      </c>
      <c r="CU182" s="233">
        <f>SUMIF(I$1:CO$1,3,I182:CO182)</f>
        <v>0</v>
      </c>
      <c r="CW182" s="270"/>
      <c r="CX182" s="270"/>
    </row>
    <row r="183" spans="1:102" ht="15" customHeight="1" x14ac:dyDescent="0.25">
      <c r="A183" s="307"/>
      <c r="B183" s="76" t="s">
        <v>275</v>
      </c>
      <c r="C183" s="72" t="s">
        <v>274</v>
      </c>
      <c r="D183" s="265" t="s">
        <v>273</v>
      </c>
      <c r="E183" s="264" t="s">
        <v>270</v>
      </c>
      <c r="F183" s="263">
        <f>((0.00075*(1.014*1.012*1.015)*1.1/1.12)*1.028)*(1.058)</f>
        <v>8.3444788453454987E-4</v>
      </c>
      <c r="G183" s="262">
        <f>F183*$G$1</f>
        <v>0</v>
      </c>
      <c r="I183" s="172"/>
      <c r="J183" s="171"/>
      <c r="K183" s="171">
        <v>130</v>
      </c>
      <c r="L183" s="171"/>
      <c r="M183" s="170"/>
      <c r="N183" s="243">
        <f>SUM(I183:M183)</f>
        <v>130</v>
      </c>
      <c r="O183" s="183">
        <v>1</v>
      </c>
      <c r="P183" s="235"/>
      <c r="Q183" s="249"/>
      <c r="R183" s="248"/>
      <c r="S183" s="248"/>
      <c r="T183" s="248"/>
      <c r="U183" s="248"/>
      <c r="V183" s="248"/>
      <c r="W183" s="247"/>
      <c r="X183" s="235">
        <f>P183*W$176</f>
        <v>0</v>
      </c>
      <c r="Z183" s="172"/>
      <c r="AA183" s="171"/>
      <c r="AB183" s="171"/>
      <c r="AC183" s="171">
        <v>250</v>
      </c>
      <c r="AD183" s="170"/>
      <c r="AE183" s="243">
        <f>SUM(Z183:AD183)</f>
        <v>250</v>
      </c>
      <c r="AF183" s="183">
        <v>1</v>
      </c>
      <c r="AG183" s="235"/>
      <c r="AH183" s="249"/>
      <c r="AI183" s="248"/>
      <c r="AJ183" s="248"/>
      <c r="AK183" s="248"/>
      <c r="AL183" s="248"/>
      <c r="AM183" s="248"/>
      <c r="AN183" s="247"/>
      <c r="AO183" s="235">
        <f>AG183*AN$176</f>
        <v>0</v>
      </c>
      <c r="AQ183" s="172"/>
      <c r="AR183" s="294"/>
      <c r="AS183" s="171"/>
      <c r="AT183" s="171"/>
      <c r="AU183" s="242"/>
      <c r="AV183" s="241">
        <f>SUM(AQ183:AU183)</f>
        <v>0</v>
      </c>
      <c r="AW183" s="183">
        <v>1</v>
      </c>
      <c r="AX183" s="235"/>
      <c r="AY183" s="249"/>
      <c r="AZ183" s="248"/>
      <c r="BA183" s="248"/>
      <c r="BB183" s="248"/>
      <c r="BC183" s="248"/>
      <c r="BD183" s="248"/>
      <c r="BE183" s="247"/>
      <c r="BF183" s="235"/>
      <c r="BH183" s="167"/>
      <c r="BI183" s="166"/>
      <c r="BJ183" s="166"/>
      <c r="BK183" s="166"/>
      <c r="BL183" s="165"/>
      <c r="BM183" s="240">
        <f>SUM(BH183:BL183)</f>
        <v>0</v>
      </c>
      <c r="BN183" s="183">
        <v>1</v>
      </c>
      <c r="BO183" s="235">
        <f>$G183*BM183*BN183</f>
        <v>0</v>
      </c>
      <c r="BP183" s="249"/>
      <c r="BQ183" s="248"/>
      <c r="BR183" s="248"/>
      <c r="BS183" s="248"/>
      <c r="BT183" s="248"/>
      <c r="BU183" s="248"/>
      <c r="BV183" s="247"/>
      <c r="BW183" s="235" t="e">
        <f>BO183*BV$176</f>
        <v>#REF!</v>
      </c>
      <c r="BY183" s="167"/>
      <c r="BZ183" s="166"/>
      <c r="CA183" s="166"/>
      <c r="CB183" s="166"/>
      <c r="CC183" s="165"/>
      <c r="CD183" s="240">
        <f>SUM(BY183:CC183)</f>
        <v>0</v>
      </c>
      <c r="CE183" s="183">
        <v>1</v>
      </c>
      <c r="CF183" s="235">
        <f>$G183*CD183*CE183</f>
        <v>0</v>
      </c>
      <c r="CG183" s="249"/>
      <c r="CH183" s="248"/>
      <c r="CI183" s="248"/>
      <c r="CJ183" s="248"/>
      <c r="CK183" s="248"/>
      <c r="CL183" s="248"/>
      <c r="CM183" s="247"/>
      <c r="CN183" s="235" t="e">
        <f>CF183*CM$176</f>
        <v>#REF!</v>
      </c>
      <c r="CP183" s="6"/>
      <c r="CQ183" s="234">
        <f>SUMIF(I$1:CO$1,1,I183:CO183)</f>
        <v>0</v>
      </c>
      <c r="CR183" s="6"/>
      <c r="CS183" s="233" t="e">
        <f>SUMIF(I$1:CO$1,2,I183:CO183)</f>
        <v>#REF!</v>
      </c>
      <c r="CU183" s="233">
        <f>SUMIF(I$1:CO$1,3,I183:CO183)</f>
        <v>250</v>
      </c>
      <c r="CW183" s="270"/>
      <c r="CX183" s="270"/>
    </row>
    <row r="184" spans="1:102" ht="15" customHeight="1" x14ac:dyDescent="0.25">
      <c r="A184" s="307"/>
      <c r="B184" s="75"/>
      <c r="C184" s="72" t="s">
        <v>272</v>
      </c>
      <c r="D184" s="265" t="s">
        <v>271</v>
      </c>
      <c r="E184" s="264" t="s">
        <v>270</v>
      </c>
      <c r="F184" s="263">
        <f>((0.0008*(1.014*1.012*1.015)*1.1/1.12)*1.028)*(1.058)</f>
        <v>8.900777435035199E-4</v>
      </c>
      <c r="G184" s="262">
        <f>F184*$G$1</f>
        <v>0</v>
      </c>
      <c r="I184" s="172"/>
      <c r="J184" s="171"/>
      <c r="K184" s="171">
        <v>10079.975993299004</v>
      </c>
      <c r="L184" s="171"/>
      <c r="M184" s="170"/>
      <c r="N184" s="243">
        <f>SUM(I184:M184)</f>
        <v>10079.975993299004</v>
      </c>
      <c r="O184" s="183">
        <v>1</v>
      </c>
      <c r="P184" s="235"/>
      <c r="Q184" s="249"/>
      <c r="R184" s="248"/>
      <c r="S184" s="248"/>
      <c r="T184" s="248"/>
      <c r="U184" s="248"/>
      <c r="V184" s="248"/>
      <c r="W184" s="247"/>
      <c r="X184" s="235">
        <f>P184*W$176</f>
        <v>0</v>
      </c>
      <c r="Z184" s="172"/>
      <c r="AA184" s="171"/>
      <c r="AB184" s="171"/>
      <c r="AC184" s="171">
        <v>42376.431651641913</v>
      </c>
      <c r="AD184" s="170"/>
      <c r="AE184" s="243">
        <f>SUM(Z184:AD184)</f>
        <v>42376.431651641913</v>
      </c>
      <c r="AF184" s="183">
        <v>1</v>
      </c>
      <c r="AG184" s="235"/>
      <c r="AH184" s="249"/>
      <c r="AI184" s="248"/>
      <c r="AJ184" s="248"/>
      <c r="AK184" s="248"/>
      <c r="AL184" s="248"/>
      <c r="AM184" s="248"/>
      <c r="AN184" s="247"/>
      <c r="AO184" s="235">
        <f>AG184*AN$176</f>
        <v>0</v>
      </c>
      <c r="AQ184" s="172"/>
      <c r="AR184" s="294"/>
      <c r="AS184" s="171"/>
      <c r="AT184" s="171"/>
      <c r="AU184" s="242"/>
      <c r="AV184" s="241">
        <f>SUM(AQ184:AU184)</f>
        <v>0</v>
      </c>
      <c r="AW184" s="183">
        <v>1</v>
      </c>
      <c r="AX184" s="235"/>
      <c r="AY184" s="249"/>
      <c r="AZ184" s="248"/>
      <c r="BA184" s="248"/>
      <c r="BB184" s="248"/>
      <c r="BC184" s="248"/>
      <c r="BD184" s="248"/>
      <c r="BE184" s="247"/>
      <c r="BF184" s="235"/>
      <c r="BH184" s="167"/>
      <c r="BI184" s="166"/>
      <c r="BJ184" s="166"/>
      <c r="BK184" s="166"/>
      <c r="BL184" s="165"/>
      <c r="BM184" s="240">
        <f>SUM(BH184:BL184)</f>
        <v>0</v>
      </c>
      <c r="BN184" s="183">
        <v>1</v>
      </c>
      <c r="BO184" s="235">
        <f>$G184*BM184*BN184</f>
        <v>0</v>
      </c>
      <c r="BP184" s="249"/>
      <c r="BQ184" s="248"/>
      <c r="BR184" s="248"/>
      <c r="BS184" s="248"/>
      <c r="BT184" s="248"/>
      <c r="BU184" s="248"/>
      <c r="BV184" s="247"/>
      <c r="BW184" s="235" t="e">
        <f>BO184*BV$176</f>
        <v>#REF!</v>
      </c>
      <c r="BY184" s="167"/>
      <c r="BZ184" s="166"/>
      <c r="CA184" s="166"/>
      <c r="CB184" s="166"/>
      <c r="CC184" s="165"/>
      <c r="CD184" s="240">
        <f>SUM(BY184:CC184)</f>
        <v>0</v>
      </c>
      <c r="CE184" s="183">
        <v>1</v>
      </c>
      <c r="CF184" s="235">
        <f>$G184*CD184*CE184</f>
        <v>0</v>
      </c>
      <c r="CG184" s="249"/>
      <c r="CH184" s="248"/>
      <c r="CI184" s="248"/>
      <c r="CJ184" s="248"/>
      <c r="CK184" s="248"/>
      <c r="CL184" s="248"/>
      <c r="CM184" s="247"/>
      <c r="CN184" s="235" t="e">
        <f>CF184*CM$176</f>
        <v>#REF!</v>
      </c>
      <c r="CP184" s="6"/>
      <c r="CQ184" s="234">
        <f>SUMIF(I$1:CO$1,1,I184:CO184)</f>
        <v>0</v>
      </c>
      <c r="CR184" s="6"/>
      <c r="CS184" s="233" t="e">
        <f>SUMIF(I$1:CO$1,2,I184:CO184)</f>
        <v>#REF!</v>
      </c>
      <c r="CU184" s="233">
        <f>SUMIF(I$1:CO$1,3,I184:CO184)</f>
        <v>42376.431651641913</v>
      </c>
      <c r="CW184" s="270"/>
      <c r="CX184" s="270"/>
    </row>
    <row r="185" spans="1:102" ht="15" customHeight="1" x14ac:dyDescent="0.25">
      <c r="A185" s="307"/>
      <c r="B185" s="75"/>
      <c r="C185" s="72" t="s">
        <v>269</v>
      </c>
      <c r="D185" s="265" t="s">
        <v>268</v>
      </c>
      <c r="E185" s="264" t="s">
        <v>232</v>
      </c>
      <c r="F185" s="263">
        <f>((0.06*(1.014*1.012*1.015)*1.1/1.12)*1.028)*(1.058)</f>
        <v>6.6755830762763993E-2</v>
      </c>
      <c r="G185" s="262">
        <f>F185*$G$1</f>
        <v>0</v>
      </c>
      <c r="I185" s="172"/>
      <c r="J185" s="294"/>
      <c r="K185" s="294">
        <v>1061.2411985668282</v>
      </c>
      <c r="L185" s="294"/>
      <c r="M185" s="322">
        <v>566.04208663488237</v>
      </c>
      <c r="N185" s="321">
        <f>SUM(I185:M185)</f>
        <v>1627.2832852017104</v>
      </c>
      <c r="O185" s="183">
        <v>1</v>
      </c>
      <c r="P185" s="318"/>
      <c r="Q185" s="249"/>
      <c r="R185" s="248"/>
      <c r="S185" s="248"/>
      <c r="T185" s="248"/>
      <c r="U185" s="248"/>
      <c r="V185" s="248"/>
      <c r="W185" s="247"/>
      <c r="X185" s="235">
        <f>P185*W$176</f>
        <v>0</v>
      </c>
      <c r="Z185" s="172"/>
      <c r="AA185" s="171"/>
      <c r="AB185" s="171"/>
      <c r="AC185" s="171">
        <v>374.88939099473214</v>
      </c>
      <c r="AD185" s="170"/>
      <c r="AE185" s="321">
        <f>SUM(Z185:AD185)</f>
        <v>374.88939099473214</v>
      </c>
      <c r="AF185" s="183">
        <v>1</v>
      </c>
      <c r="AG185" s="318"/>
      <c r="AH185" s="249"/>
      <c r="AI185" s="248"/>
      <c r="AJ185" s="248"/>
      <c r="AK185" s="248"/>
      <c r="AL185" s="248"/>
      <c r="AM185" s="248"/>
      <c r="AN185" s="247"/>
      <c r="AO185" s="235">
        <f>AG185*AN$176</f>
        <v>0</v>
      </c>
      <c r="AQ185" s="172"/>
      <c r="AR185" s="294"/>
      <c r="AS185" s="294"/>
      <c r="AT185" s="294"/>
      <c r="AU185" s="242"/>
      <c r="AV185" s="317">
        <f>SUM(AQ185:AU185)</f>
        <v>0</v>
      </c>
      <c r="AW185" s="183">
        <v>1</v>
      </c>
      <c r="AX185" s="318"/>
      <c r="AY185" s="249"/>
      <c r="AZ185" s="248"/>
      <c r="BA185" s="248"/>
      <c r="BB185" s="248"/>
      <c r="BC185" s="248"/>
      <c r="BD185" s="248"/>
      <c r="BE185" s="247"/>
      <c r="BF185" s="235"/>
      <c r="BH185" s="167"/>
      <c r="BI185" s="320"/>
      <c r="BJ185" s="320"/>
      <c r="BK185" s="320"/>
      <c r="BL185" s="165"/>
      <c r="BM185" s="319">
        <f>SUM(BH185:BL185)</f>
        <v>0</v>
      </c>
      <c r="BN185" s="183">
        <v>1</v>
      </c>
      <c r="BO185" s="318">
        <f>$G185*BM185*BN185</f>
        <v>0</v>
      </c>
      <c r="BP185" s="249"/>
      <c r="BQ185" s="248"/>
      <c r="BR185" s="248"/>
      <c r="BS185" s="248"/>
      <c r="BT185" s="248"/>
      <c r="BU185" s="248"/>
      <c r="BV185" s="247"/>
      <c r="BW185" s="235" t="e">
        <f>BO185*BV$176</f>
        <v>#REF!</v>
      </c>
      <c r="BY185" s="167"/>
      <c r="BZ185" s="320"/>
      <c r="CA185" s="320"/>
      <c r="CB185" s="320"/>
      <c r="CC185" s="165"/>
      <c r="CD185" s="319">
        <f>SUM(BY185:CC185)</f>
        <v>0</v>
      </c>
      <c r="CE185" s="183">
        <v>1</v>
      </c>
      <c r="CF185" s="318">
        <f>$G185*CD185*CE185</f>
        <v>0</v>
      </c>
      <c r="CG185" s="249"/>
      <c r="CH185" s="248"/>
      <c r="CI185" s="248"/>
      <c r="CJ185" s="248"/>
      <c r="CK185" s="248"/>
      <c r="CL185" s="248"/>
      <c r="CM185" s="247"/>
      <c r="CN185" s="235" t="e">
        <f>CF185*CM$176</f>
        <v>#REF!</v>
      </c>
      <c r="CP185" s="6"/>
      <c r="CQ185" s="234">
        <f>SUMIF(I$1:CO$1,1,I185:CO185)</f>
        <v>0</v>
      </c>
      <c r="CR185" s="6"/>
      <c r="CS185" s="233" t="e">
        <f>SUMIF(I$1:CO$1,2,I185:CO185)</f>
        <v>#REF!</v>
      </c>
      <c r="CU185" s="233">
        <f>SUMIF(I$1:CO$1,3,I185:CO185)</f>
        <v>374.88939099473214</v>
      </c>
      <c r="CW185" s="270"/>
      <c r="CX185" s="270"/>
    </row>
    <row r="186" spans="1:102" ht="15" customHeight="1" x14ac:dyDescent="0.25">
      <c r="A186" s="307"/>
      <c r="B186" s="73"/>
      <c r="C186" s="72" t="s">
        <v>267</v>
      </c>
      <c r="D186" s="265" t="s">
        <v>266</v>
      </c>
      <c r="E186" s="264" t="s">
        <v>232</v>
      </c>
      <c r="F186" s="263">
        <f>((0.02*(1.014*1.012*1.015)*1.1/1.12)*1.028)*(1.058)</f>
        <v>2.2251943587587995E-2</v>
      </c>
      <c r="G186" s="262">
        <f>F186*$G$1</f>
        <v>0</v>
      </c>
      <c r="I186" s="172"/>
      <c r="J186" s="171"/>
      <c r="K186" s="171"/>
      <c r="L186" s="171"/>
      <c r="M186" s="170"/>
      <c r="N186" s="243">
        <f>SUM(I186:M186)</f>
        <v>0</v>
      </c>
      <c r="O186" s="183">
        <v>1</v>
      </c>
      <c r="P186" s="235"/>
      <c r="Q186" s="249"/>
      <c r="R186" s="248"/>
      <c r="S186" s="248"/>
      <c r="T186" s="248"/>
      <c r="U186" s="248"/>
      <c r="V186" s="248"/>
      <c r="W186" s="247"/>
      <c r="X186" s="235">
        <f>P186*W$176</f>
        <v>0</v>
      </c>
      <c r="Z186" s="172"/>
      <c r="AA186" s="171"/>
      <c r="AB186" s="171"/>
      <c r="AC186" s="171"/>
      <c r="AD186" s="170"/>
      <c r="AE186" s="243">
        <f>SUM(Z186:AD186)</f>
        <v>0</v>
      </c>
      <c r="AF186" s="183">
        <v>1</v>
      </c>
      <c r="AG186" s="235"/>
      <c r="AH186" s="249"/>
      <c r="AI186" s="248"/>
      <c r="AJ186" s="248"/>
      <c r="AK186" s="248"/>
      <c r="AL186" s="248"/>
      <c r="AM186" s="248"/>
      <c r="AN186" s="247"/>
      <c r="AO186" s="235">
        <f>AG186*AN$176</f>
        <v>0</v>
      </c>
      <c r="AQ186" s="172"/>
      <c r="AR186" s="294"/>
      <c r="AS186" s="171"/>
      <c r="AT186" s="171"/>
      <c r="AU186" s="242"/>
      <c r="AV186" s="317">
        <f>SUM(AQ186:AU186)</f>
        <v>0</v>
      </c>
      <c r="AW186" s="183">
        <v>1</v>
      </c>
      <c r="AX186" s="235"/>
      <c r="AY186" s="249"/>
      <c r="AZ186" s="248"/>
      <c r="BA186" s="248"/>
      <c r="BB186" s="248"/>
      <c r="BC186" s="248"/>
      <c r="BD186" s="248"/>
      <c r="BE186" s="247"/>
      <c r="BF186" s="235"/>
      <c r="BH186" s="167"/>
      <c r="BI186" s="166"/>
      <c r="BJ186" s="166"/>
      <c r="BK186" s="166"/>
      <c r="BL186" s="165"/>
      <c r="BM186" s="240">
        <f>SUM(BH186:BL186)</f>
        <v>0</v>
      </c>
      <c r="BN186" s="183">
        <v>1</v>
      </c>
      <c r="BO186" s="235">
        <f>$G186*BM186*BN186</f>
        <v>0</v>
      </c>
      <c r="BP186" s="249"/>
      <c r="BQ186" s="248"/>
      <c r="BR186" s="248"/>
      <c r="BS186" s="248"/>
      <c r="BT186" s="248"/>
      <c r="BU186" s="248"/>
      <c r="BV186" s="247"/>
      <c r="BW186" s="235" t="e">
        <f>BO186*BV$176</f>
        <v>#REF!</v>
      </c>
      <c r="BY186" s="167"/>
      <c r="BZ186" s="166"/>
      <c r="CA186" s="166"/>
      <c r="CB186" s="166"/>
      <c r="CC186" s="165"/>
      <c r="CD186" s="240">
        <f>SUM(BY186:CC186)</f>
        <v>0</v>
      </c>
      <c r="CE186" s="183">
        <v>1</v>
      </c>
      <c r="CF186" s="235">
        <f>$G186*CD186*CE186</f>
        <v>0</v>
      </c>
      <c r="CG186" s="249"/>
      <c r="CH186" s="248"/>
      <c r="CI186" s="248"/>
      <c r="CJ186" s="248"/>
      <c r="CK186" s="248"/>
      <c r="CL186" s="248"/>
      <c r="CM186" s="247"/>
      <c r="CN186" s="235" t="e">
        <f>CF186*CM$176</f>
        <v>#REF!</v>
      </c>
      <c r="CP186" s="6"/>
      <c r="CQ186" s="234">
        <f>SUMIF(I$1:CO$1,1,I186:CO186)</f>
        <v>0</v>
      </c>
      <c r="CR186" s="6"/>
      <c r="CS186" s="233" t="e">
        <f>SUMIF(I$1:CO$1,2,I186:CO186)</f>
        <v>#REF!</v>
      </c>
      <c r="CU186" s="233">
        <f>SUMIF(I$1:CO$1,3,I186:CO186)</f>
        <v>0</v>
      </c>
      <c r="CW186" s="270"/>
      <c r="CX186" s="270"/>
    </row>
    <row r="187" spans="1:102" ht="15" customHeight="1" x14ac:dyDescent="0.25">
      <c r="A187" s="307"/>
      <c r="B187" s="257" t="s">
        <v>178</v>
      </c>
      <c r="C187" s="72" t="s">
        <v>29</v>
      </c>
      <c r="D187" s="255" t="s">
        <v>265</v>
      </c>
      <c r="E187" s="254" t="s">
        <v>106</v>
      </c>
      <c r="F187" s="308"/>
      <c r="G187" s="308">
        <f>F187</f>
        <v>0</v>
      </c>
      <c r="I187" s="172"/>
      <c r="J187" s="171"/>
      <c r="K187" s="171"/>
      <c r="L187" s="171"/>
      <c r="M187" s="170">
        <v>0.42056002999999997</v>
      </c>
      <c r="N187" s="243">
        <f>SUM(I187:M187)</f>
        <v>0.42056002999999997</v>
      </c>
      <c r="O187" s="183">
        <v>1</v>
      </c>
      <c r="P187" s="235"/>
      <c r="Q187" s="249"/>
      <c r="R187" s="248"/>
      <c r="S187" s="248"/>
      <c r="T187" s="248"/>
      <c r="U187" s="248"/>
      <c r="V187" s="248"/>
      <c r="W187" s="247"/>
      <c r="X187" s="235">
        <f>P187*W$176</f>
        <v>0</v>
      </c>
      <c r="Z187" s="172"/>
      <c r="AA187" s="171"/>
      <c r="AB187" s="171"/>
      <c r="AC187" s="171"/>
      <c r="AD187" s="170"/>
      <c r="AE187" s="243">
        <f>SUM(Z187:AD187)</f>
        <v>0</v>
      </c>
      <c r="AF187" s="183">
        <v>1</v>
      </c>
      <c r="AG187" s="235"/>
      <c r="AH187" s="249"/>
      <c r="AI187" s="248"/>
      <c r="AJ187" s="248"/>
      <c r="AK187" s="248"/>
      <c r="AL187" s="248"/>
      <c r="AM187" s="248"/>
      <c r="AN187" s="247"/>
      <c r="AO187" s="235">
        <f>AG187*AN$176</f>
        <v>0</v>
      </c>
      <c r="AQ187" s="172">
        <v>0.83014832000000005</v>
      </c>
      <c r="AR187" s="294"/>
      <c r="AS187" s="171"/>
      <c r="AT187" s="171"/>
      <c r="AU187" s="242"/>
      <c r="AV187" s="317">
        <f>SUM(AQ187:AU187)</f>
        <v>0.83014832000000005</v>
      </c>
      <c r="AW187" s="183">
        <v>1</v>
      </c>
      <c r="AX187" s="235"/>
      <c r="AY187" s="249"/>
      <c r="AZ187" s="248"/>
      <c r="BA187" s="248"/>
      <c r="BB187" s="248"/>
      <c r="BC187" s="248"/>
      <c r="BD187" s="248"/>
      <c r="BE187" s="247"/>
      <c r="BF187" s="235"/>
      <c r="BH187" s="167"/>
      <c r="BI187" s="166"/>
      <c r="BJ187" s="166"/>
      <c r="BK187" s="166"/>
      <c r="BL187" s="165"/>
      <c r="BM187" s="240">
        <f>SUM(BH187:BL187)</f>
        <v>0</v>
      </c>
      <c r="BN187" s="183">
        <v>1</v>
      </c>
      <c r="BO187" s="235">
        <f>$G187*BM187*BN187</f>
        <v>0</v>
      </c>
      <c r="BP187" s="249"/>
      <c r="BQ187" s="248"/>
      <c r="BR187" s="248"/>
      <c r="BS187" s="248"/>
      <c r="BT187" s="248"/>
      <c r="BU187" s="248"/>
      <c r="BV187" s="247"/>
      <c r="BW187" s="235" t="e">
        <f>BO187*BV$176</f>
        <v>#REF!</v>
      </c>
      <c r="BY187" s="167"/>
      <c r="BZ187" s="166"/>
      <c r="CA187" s="166"/>
      <c r="CB187" s="166"/>
      <c r="CC187" s="165"/>
      <c r="CD187" s="240">
        <f>SUM(BY187:CC187)</f>
        <v>0</v>
      </c>
      <c r="CE187" s="183">
        <v>1</v>
      </c>
      <c r="CF187" s="235">
        <f>$G187*CD187*CE187</f>
        <v>0</v>
      </c>
      <c r="CG187" s="249"/>
      <c r="CH187" s="248"/>
      <c r="CI187" s="248"/>
      <c r="CJ187" s="248"/>
      <c r="CK187" s="248"/>
      <c r="CL187" s="248"/>
      <c r="CM187" s="247"/>
      <c r="CN187" s="235" t="e">
        <f>CF187*CM$176</f>
        <v>#REF!</v>
      </c>
      <c r="CP187" s="6"/>
      <c r="CQ187" s="234">
        <f>SUMIF(I$1:CO$1,1,I187:CO187)</f>
        <v>0</v>
      </c>
      <c r="CR187" s="6"/>
      <c r="CS187" s="233" t="e">
        <f>SUMIF(I$1:CO$1,2,I187:CO187)</f>
        <v>#REF!</v>
      </c>
      <c r="CU187" s="246"/>
      <c r="CW187" s="270"/>
      <c r="CX187" s="270"/>
    </row>
    <row r="188" spans="1:102" ht="15" customHeight="1" x14ac:dyDescent="0.25">
      <c r="A188" s="307"/>
      <c r="B188" s="244"/>
      <c r="C188" s="72" t="s">
        <v>28</v>
      </c>
      <c r="D188" s="255" t="s">
        <v>175</v>
      </c>
      <c r="E188" s="254"/>
      <c r="F188" s="308"/>
      <c r="G188" s="308">
        <f>F188</f>
        <v>0</v>
      </c>
      <c r="I188" s="172"/>
      <c r="J188" s="171"/>
      <c r="K188" s="171"/>
      <c r="L188" s="171"/>
      <c r="M188" s="170"/>
      <c r="N188" s="243">
        <f>SUM(I188:M188)</f>
        <v>0</v>
      </c>
      <c r="O188" s="183">
        <v>1</v>
      </c>
      <c r="P188" s="235"/>
      <c r="Q188" s="249"/>
      <c r="R188" s="248"/>
      <c r="S188" s="248"/>
      <c r="T188" s="248"/>
      <c r="U188" s="248"/>
      <c r="V188" s="248"/>
      <c r="W188" s="247"/>
      <c r="X188" s="235">
        <f>P188*W$176</f>
        <v>0</v>
      </c>
      <c r="Z188" s="172"/>
      <c r="AA188" s="171"/>
      <c r="AB188" s="171"/>
      <c r="AC188" s="171"/>
      <c r="AD188" s="170"/>
      <c r="AE188" s="243">
        <f>SUM(Z188:AD188)</f>
        <v>0</v>
      </c>
      <c r="AF188" s="183">
        <v>1</v>
      </c>
      <c r="AG188" s="235"/>
      <c r="AH188" s="249"/>
      <c r="AI188" s="248"/>
      <c r="AJ188" s="248"/>
      <c r="AK188" s="248"/>
      <c r="AL188" s="248"/>
      <c r="AM188" s="248"/>
      <c r="AN188" s="247"/>
      <c r="AO188" s="235">
        <f>AG188*AN$176</f>
        <v>0</v>
      </c>
      <c r="AQ188" s="172"/>
      <c r="AR188" s="294"/>
      <c r="AS188" s="171"/>
      <c r="AT188" s="171"/>
      <c r="AU188" s="242"/>
      <c r="AV188" s="317">
        <f>SUM(AQ188:AU188)</f>
        <v>0</v>
      </c>
      <c r="AW188" s="183">
        <v>1</v>
      </c>
      <c r="AX188" s="235"/>
      <c r="AY188" s="249"/>
      <c r="AZ188" s="248"/>
      <c r="BA188" s="248"/>
      <c r="BB188" s="248"/>
      <c r="BC188" s="248"/>
      <c r="BD188" s="248"/>
      <c r="BE188" s="247"/>
      <c r="BF188" s="235"/>
      <c r="BH188" s="167"/>
      <c r="BI188" s="166"/>
      <c r="BJ188" s="166"/>
      <c r="BK188" s="166"/>
      <c r="BL188" s="165"/>
      <c r="BM188" s="240">
        <f>SUM(BH188:BL188)</f>
        <v>0</v>
      </c>
      <c r="BN188" s="183">
        <v>1</v>
      </c>
      <c r="BO188" s="235">
        <f>$G188*BM188*BN188</f>
        <v>0</v>
      </c>
      <c r="BP188" s="249"/>
      <c r="BQ188" s="248"/>
      <c r="BR188" s="248"/>
      <c r="BS188" s="248"/>
      <c r="BT188" s="248"/>
      <c r="BU188" s="248"/>
      <c r="BV188" s="247"/>
      <c r="BW188" s="235" t="e">
        <f>BO188*BV$176</f>
        <v>#REF!</v>
      </c>
      <c r="BY188" s="167"/>
      <c r="BZ188" s="166"/>
      <c r="CA188" s="166"/>
      <c r="CB188" s="166"/>
      <c r="CC188" s="165"/>
      <c r="CD188" s="240">
        <f>SUM(BY188:CC188)</f>
        <v>0</v>
      </c>
      <c r="CE188" s="183">
        <v>1</v>
      </c>
      <c r="CF188" s="235">
        <f>$G188*CD188*CE188</f>
        <v>0</v>
      </c>
      <c r="CG188" s="249"/>
      <c r="CH188" s="248"/>
      <c r="CI188" s="248"/>
      <c r="CJ188" s="248"/>
      <c r="CK188" s="248"/>
      <c r="CL188" s="248"/>
      <c r="CM188" s="247"/>
      <c r="CN188" s="235" t="e">
        <f>CF188*CM$176</f>
        <v>#REF!</v>
      </c>
      <c r="CP188" s="6"/>
      <c r="CQ188" s="234">
        <f>SUMIF(I$1:CO$1,1,I188:CO188)</f>
        <v>0</v>
      </c>
      <c r="CR188" s="6"/>
      <c r="CS188" s="233" t="e">
        <f>SUMIF(I$1:CO$1,2,I188:CO188)</f>
        <v>#REF!</v>
      </c>
      <c r="CU188" s="246"/>
      <c r="CW188" s="270"/>
      <c r="CX188" s="270"/>
    </row>
    <row r="189" spans="1:102" ht="15" customHeight="1" x14ac:dyDescent="0.25">
      <c r="A189" s="307"/>
      <c r="B189" s="244"/>
      <c r="C189" s="72" t="s">
        <v>27</v>
      </c>
      <c r="D189" s="255" t="s">
        <v>175</v>
      </c>
      <c r="E189" s="254"/>
      <c r="F189" s="308"/>
      <c r="G189" s="308">
        <f>F189</f>
        <v>0</v>
      </c>
      <c r="I189" s="172"/>
      <c r="J189" s="171"/>
      <c r="K189" s="171"/>
      <c r="L189" s="171"/>
      <c r="M189" s="170"/>
      <c r="N189" s="243">
        <f>SUM(I189:M189)</f>
        <v>0</v>
      </c>
      <c r="O189" s="183">
        <v>1</v>
      </c>
      <c r="P189" s="235"/>
      <c r="Q189" s="249"/>
      <c r="R189" s="248"/>
      <c r="S189" s="248"/>
      <c r="T189" s="248"/>
      <c r="U189" s="248"/>
      <c r="V189" s="248"/>
      <c r="W189" s="247"/>
      <c r="X189" s="235">
        <f>P189*W$176</f>
        <v>0</v>
      </c>
      <c r="Z189" s="172"/>
      <c r="AA189" s="171"/>
      <c r="AB189" s="171"/>
      <c r="AC189" s="171"/>
      <c r="AD189" s="170"/>
      <c r="AE189" s="243">
        <f>SUM(Z189:AD189)</f>
        <v>0</v>
      </c>
      <c r="AF189" s="183">
        <v>1</v>
      </c>
      <c r="AG189" s="235"/>
      <c r="AH189" s="249"/>
      <c r="AI189" s="248"/>
      <c r="AJ189" s="248"/>
      <c r="AK189" s="248"/>
      <c r="AL189" s="248"/>
      <c r="AM189" s="248"/>
      <c r="AN189" s="247"/>
      <c r="AO189" s="235">
        <f>AG189*AN$176</f>
        <v>0</v>
      </c>
      <c r="AQ189" s="172"/>
      <c r="AR189" s="294"/>
      <c r="AS189" s="171"/>
      <c r="AT189" s="171"/>
      <c r="AU189" s="242"/>
      <c r="AV189" s="317">
        <f>SUM(AQ189:AU189)</f>
        <v>0</v>
      </c>
      <c r="AW189" s="183">
        <v>1</v>
      </c>
      <c r="AX189" s="235"/>
      <c r="AY189" s="249"/>
      <c r="AZ189" s="248"/>
      <c r="BA189" s="248"/>
      <c r="BB189" s="248"/>
      <c r="BC189" s="248"/>
      <c r="BD189" s="248"/>
      <c r="BE189" s="247"/>
      <c r="BF189" s="235"/>
      <c r="BH189" s="167"/>
      <c r="BI189" s="166"/>
      <c r="BJ189" s="166"/>
      <c r="BK189" s="166"/>
      <c r="BL189" s="165"/>
      <c r="BM189" s="240">
        <f>SUM(BH189:BL189)</f>
        <v>0</v>
      </c>
      <c r="BN189" s="183">
        <v>1</v>
      </c>
      <c r="BO189" s="235">
        <f>$G189*BM189*BN189</f>
        <v>0</v>
      </c>
      <c r="BP189" s="249"/>
      <c r="BQ189" s="248"/>
      <c r="BR189" s="248"/>
      <c r="BS189" s="248"/>
      <c r="BT189" s="248"/>
      <c r="BU189" s="248"/>
      <c r="BV189" s="247"/>
      <c r="BW189" s="235" t="e">
        <f>BO189*BV$176</f>
        <v>#REF!</v>
      </c>
      <c r="BY189" s="167"/>
      <c r="BZ189" s="166"/>
      <c r="CA189" s="166"/>
      <c r="CB189" s="166"/>
      <c r="CC189" s="165"/>
      <c r="CD189" s="240">
        <f>SUM(BY189:CC189)</f>
        <v>0</v>
      </c>
      <c r="CE189" s="183">
        <v>1</v>
      </c>
      <c r="CF189" s="235">
        <f>$G189*CD189*CE189</f>
        <v>0</v>
      </c>
      <c r="CG189" s="249"/>
      <c r="CH189" s="248"/>
      <c r="CI189" s="248"/>
      <c r="CJ189" s="248"/>
      <c r="CK189" s="248"/>
      <c r="CL189" s="248"/>
      <c r="CM189" s="247"/>
      <c r="CN189" s="235" t="e">
        <f>CF189*CM$176</f>
        <v>#REF!</v>
      </c>
      <c r="CP189" s="6"/>
      <c r="CQ189" s="234">
        <f>SUMIF(I$1:CO$1,1,I189:CO189)</f>
        <v>0</v>
      </c>
      <c r="CR189" s="6"/>
      <c r="CS189" s="233" t="e">
        <f>SUMIF(I$1:CO$1,2,I189:CO189)</f>
        <v>#REF!</v>
      </c>
      <c r="CU189" s="233">
        <f>SUMIF(I$1:CO$1,3,I189:CO189)</f>
        <v>0</v>
      </c>
      <c r="CW189" s="270"/>
      <c r="CX189" s="270"/>
    </row>
    <row r="190" spans="1:102" ht="15" customHeight="1" x14ac:dyDescent="0.25">
      <c r="A190" s="307"/>
      <c r="B190" s="244"/>
      <c r="C190" s="72" t="s">
        <v>26</v>
      </c>
      <c r="D190" s="252" t="s">
        <v>264</v>
      </c>
      <c r="E190" s="174" t="s">
        <v>106</v>
      </c>
      <c r="F190" s="292"/>
      <c r="G190" s="292">
        <f>F190</f>
        <v>0</v>
      </c>
      <c r="I190" s="172"/>
      <c r="J190" s="171"/>
      <c r="K190" s="171">
        <v>4.1221792099999996</v>
      </c>
      <c r="L190" s="171"/>
      <c r="M190" s="170"/>
      <c r="N190" s="243"/>
      <c r="O190" s="239"/>
      <c r="P190" s="235"/>
      <c r="Q190" s="249"/>
      <c r="R190" s="248"/>
      <c r="S190" s="248"/>
      <c r="T190" s="248"/>
      <c r="U190" s="248"/>
      <c r="V190" s="248"/>
      <c r="W190" s="247"/>
      <c r="X190" s="235">
        <f>P190*W$176</f>
        <v>0</v>
      </c>
      <c r="Z190" s="172"/>
      <c r="AA190" s="171"/>
      <c r="AB190" s="171"/>
      <c r="AC190" s="171"/>
      <c r="AD190" s="170"/>
      <c r="AE190" s="243"/>
      <c r="AF190" s="239"/>
      <c r="AG190" s="235"/>
      <c r="AH190" s="249"/>
      <c r="AI190" s="248"/>
      <c r="AJ190" s="248"/>
      <c r="AK190" s="248"/>
      <c r="AL190" s="248"/>
      <c r="AM190" s="248"/>
      <c r="AN190" s="247"/>
      <c r="AO190" s="235">
        <f>AG190*AN$176</f>
        <v>0</v>
      </c>
      <c r="AQ190" s="172"/>
      <c r="AR190" s="294"/>
      <c r="AS190" s="171"/>
      <c r="AT190" s="171"/>
      <c r="AU190" s="242"/>
      <c r="AV190" s="241"/>
      <c r="AW190" s="239"/>
      <c r="AX190" s="235"/>
      <c r="AY190" s="249"/>
      <c r="AZ190" s="248"/>
      <c r="BA190" s="248"/>
      <c r="BB190" s="248"/>
      <c r="BC190" s="248"/>
      <c r="BD190" s="248"/>
      <c r="BE190" s="247"/>
      <c r="BF190" s="235"/>
      <c r="BH190" s="167"/>
      <c r="BI190" s="166"/>
      <c r="BJ190" s="166"/>
      <c r="BK190" s="166"/>
      <c r="BL190" s="165"/>
      <c r="BM190" s="240"/>
      <c r="BN190" s="239"/>
      <c r="BO190" s="235">
        <f>SUM(BH190:BL190)</f>
        <v>0</v>
      </c>
      <c r="BP190" s="249"/>
      <c r="BQ190" s="248"/>
      <c r="BR190" s="248"/>
      <c r="BS190" s="248"/>
      <c r="BT190" s="248"/>
      <c r="BU190" s="248"/>
      <c r="BV190" s="247"/>
      <c r="BW190" s="235" t="e">
        <f>BO190*BV$176</f>
        <v>#REF!</v>
      </c>
      <c r="BY190" s="167"/>
      <c r="BZ190" s="166"/>
      <c r="CA190" s="166"/>
      <c r="CB190" s="166"/>
      <c r="CC190" s="165"/>
      <c r="CD190" s="240"/>
      <c r="CE190" s="239"/>
      <c r="CF190" s="235">
        <f>SUM(BY190:CC190)</f>
        <v>0</v>
      </c>
      <c r="CG190" s="249"/>
      <c r="CH190" s="248"/>
      <c r="CI190" s="248"/>
      <c r="CJ190" s="248"/>
      <c r="CK190" s="248"/>
      <c r="CL190" s="248"/>
      <c r="CM190" s="247"/>
      <c r="CN190" s="235" t="e">
        <f>CF190*CM$176</f>
        <v>#REF!</v>
      </c>
      <c r="CP190" s="6"/>
      <c r="CQ190" s="234">
        <f>SUMIF(I$1:CO$1,1,I190:CO190)</f>
        <v>0</v>
      </c>
      <c r="CR190" s="6"/>
      <c r="CS190" s="233" t="e">
        <f>SUMIF(I$1:CO$1,2,I190:CO190)</f>
        <v>#REF!</v>
      </c>
      <c r="CU190" s="246"/>
      <c r="CW190" s="270"/>
      <c r="CX190" s="270"/>
    </row>
    <row r="191" spans="1:102" ht="15" customHeight="1" x14ac:dyDescent="0.25">
      <c r="A191" s="307"/>
      <c r="B191" s="244"/>
      <c r="C191" s="72" t="s">
        <v>25</v>
      </c>
      <c r="D191" s="199" t="s">
        <v>263</v>
      </c>
      <c r="E191" s="174" t="s">
        <v>106</v>
      </c>
      <c r="F191" s="292"/>
      <c r="G191" s="292">
        <f>F191</f>
        <v>0</v>
      </c>
      <c r="I191" s="172"/>
      <c r="J191" s="171"/>
      <c r="K191" s="171">
        <v>0.85951562000000004</v>
      </c>
      <c r="L191" s="171"/>
      <c r="M191" s="170">
        <f>0.34365836+4.40071999</f>
        <v>4.7443783499999999</v>
      </c>
      <c r="N191" s="243"/>
      <c r="O191" s="239"/>
      <c r="P191" s="235"/>
      <c r="Q191" s="238"/>
      <c r="R191" s="237"/>
      <c r="S191" s="237"/>
      <c r="T191" s="237"/>
      <c r="U191" s="237"/>
      <c r="V191" s="237"/>
      <c r="W191" s="236"/>
      <c r="X191" s="235">
        <f>P191*W$176</f>
        <v>0</v>
      </c>
      <c r="Z191" s="172"/>
      <c r="AA191" s="171">
        <v>0.33260265999999999</v>
      </c>
      <c r="AB191" s="171"/>
      <c r="AC191" s="171">
        <v>1.4064801</v>
      </c>
      <c r="AD191" s="170">
        <f>0.36190132+0.26668289</f>
        <v>0.62858421000000009</v>
      </c>
      <c r="AE191" s="243"/>
      <c r="AF191" s="239"/>
      <c r="AG191" s="235"/>
      <c r="AH191" s="238"/>
      <c r="AI191" s="237"/>
      <c r="AJ191" s="237"/>
      <c r="AK191" s="237"/>
      <c r="AL191" s="237"/>
      <c r="AM191" s="237"/>
      <c r="AN191" s="236"/>
      <c r="AO191" s="235">
        <f>AG191*AN$176</f>
        <v>0</v>
      </c>
      <c r="AQ191" s="172">
        <f>1.26336459+0.32022784</f>
        <v>1.5835924299999999</v>
      </c>
      <c r="AR191" s="294"/>
      <c r="AS191" s="171"/>
      <c r="AT191" s="171"/>
      <c r="AU191" s="242"/>
      <c r="AV191" s="241"/>
      <c r="AW191" s="239"/>
      <c r="AX191" s="235"/>
      <c r="AY191" s="238"/>
      <c r="AZ191" s="237"/>
      <c r="BA191" s="237"/>
      <c r="BB191" s="237"/>
      <c r="BC191" s="237"/>
      <c r="BD191" s="237"/>
      <c r="BE191" s="236"/>
      <c r="BF191" s="235"/>
      <c r="BH191" s="167"/>
      <c r="BI191" s="166"/>
      <c r="BJ191" s="166"/>
      <c r="BK191" s="166"/>
      <c r="BL191" s="165"/>
      <c r="BM191" s="240"/>
      <c r="BN191" s="239"/>
      <c r="BO191" s="235">
        <f>SUM(BH191:BL191)</f>
        <v>0</v>
      </c>
      <c r="BP191" s="238"/>
      <c r="BQ191" s="237"/>
      <c r="BR191" s="237"/>
      <c r="BS191" s="237"/>
      <c r="BT191" s="237"/>
      <c r="BU191" s="237"/>
      <c r="BV191" s="236"/>
      <c r="BW191" s="235" t="e">
        <f>BO191*BV$176</f>
        <v>#REF!</v>
      </c>
      <c r="BY191" s="167"/>
      <c r="BZ191" s="166"/>
      <c r="CA191" s="166"/>
      <c r="CB191" s="166"/>
      <c r="CC191" s="165"/>
      <c r="CD191" s="240"/>
      <c r="CE191" s="239"/>
      <c r="CF191" s="235">
        <f>SUM(BY191:CC191)</f>
        <v>0</v>
      </c>
      <c r="CG191" s="238"/>
      <c r="CH191" s="237"/>
      <c r="CI191" s="237"/>
      <c r="CJ191" s="237"/>
      <c r="CK191" s="237"/>
      <c r="CL191" s="237"/>
      <c r="CM191" s="236"/>
      <c r="CN191" s="235" t="e">
        <f>CF191*CM$176</f>
        <v>#REF!</v>
      </c>
      <c r="CP191" s="6"/>
      <c r="CQ191" s="234">
        <f>SUMIF(I$1:CO$1,1,I191:CO191)</f>
        <v>0</v>
      </c>
      <c r="CR191" s="6"/>
      <c r="CS191" s="233" t="e">
        <f>SUMIF(I$1:CO$1,2,I191:CO191)</f>
        <v>#REF!</v>
      </c>
      <c r="CU191" s="246"/>
      <c r="CW191" s="270"/>
      <c r="CX191" s="270"/>
    </row>
    <row r="192" spans="1:102" ht="15" customHeight="1" thickBot="1" x14ac:dyDescent="0.3">
      <c r="A192" s="306"/>
      <c r="B192" s="231"/>
      <c r="C192" s="229"/>
      <c r="D192" s="230" t="s">
        <v>148</v>
      </c>
      <c r="E192" s="229"/>
      <c r="F192" s="289"/>
      <c r="G192" s="289"/>
      <c r="I192" s="227"/>
      <c r="J192" s="226"/>
      <c r="K192" s="226"/>
      <c r="L192" s="226"/>
      <c r="M192" s="225"/>
      <c r="N192" s="224"/>
      <c r="O192" s="218"/>
      <c r="P192" s="217"/>
      <c r="Q192" s="219"/>
      <c r="R192" s="219"/>
      <c r="S192" s="219"/>
      <c r="T192" s="219"/>
      <c r="U192" s="219"/>
      <c r="V192" s="219"/>
      <c r="W192" s="218"/>
      <c r="X192" s="217">
        <f>SUM(X176:X191)</f>
        <v>0</v>
      </c>
      <c r="Z192" s="304"/>
      <c r="AA192" s="305"/>
      <c r="AB192" s="305"/>
      <c r="AC192" s="305"/>
      <c r="AD192" s="289"/>
      <c r="AE192" s="224"/>
      <c r="AF192" s="218"/>
      <c r="AG192" s="217"/>
      <c r="AH192" s="219"/>
      <c r="AI192" s="219"/>
      <c r="AJ192" s="219"/>
      <c r="AK192" s="219"/>
      <c r="AL192" s="219"/>
      <c r="AM192" s="219"/>
      <c r="AN192" s="218"/>
      <c r="AO192" s="217">
        <f>SUM(AO176:AO191)</f>
        <v>0</v>
      </c>
      <c r="AQ192" s="304"/>
      <c r="AR192" s="226"/>
      <c r="AS192" s="226"/>
      <c r="AT192" s="226"/>
      <c r="AU192" s="226"/>
      <c r="AV192" s="223"/>
      <c r="AW192" s="218"/>
      <c r="AX192" s="217"/>
      <c r="AY192" s="219"/>
      <c r="AZ192" s="219"/>
      <c r="BA192" s="219"/>
      <c r="BB192" s="219"/>
      <c r="BC192" s="219"/>
      <c r="BD192" s="219"/>
      <c r="BE192" s="218"/>
      <c r="BF192" s="217"/>
      <c r="BH192" s="222"/>
      <c r="BI192" s="221"/>
      <c r="BJ192" s="221"/>
      <c r="BK192" s="221"/>
      <c r="BL192" s="221"/>
      <c r="BM192" s="220"/>
      <c r="BN192" s="218"/>
      <c r="BO192" s="217">
        <f>SUM(BO176:BO191)</f>
        <v>0</v>
      </c>
      <c r="BP192" s="219"/>
      <c r="BQ192" s="219"/>
      <c r="BR192" s="219"/>
      <c r="BS192" s="219"/>
      <c r="BT192" s="219"/>
      <c r="BU192" s="219"/>
      <c r="BV192" s="218"/>
      <c r="BW192" s="217" t="e">
        <f>SUM(BW176:BW191)</f>
        <v>#REF!</v>
      </c>
      <c r="BY192" s="222"/>
      <c r="BZ192" s="221"/>
      <c r="CA192" s="221"/>
      <c r="CB192" s="221"/>
      <c r="CC192" s="221"/>
      <c r="CD192" s="220"/>
      <c r="CE192" s="218"/>
      <c r="CF192" s="217">
        <f>SUM(CF176:CF191)</f>
        <v>0</v>
      </c>
      <c r="CG192" s="219"/>
      <c r="CH192" s="219"/>
      <c r="CI192" s="219"/>
      <c r="CJ192" s="219"/>
      <c r="CK192" s="219"/>
      <c r="CL192" s="219"/>
      <c r="CM192" s="218"/>
      <c r="CN192" s="217" t="e">
        <f>SUM(CN176:CN191)</f>
        <v>#REF!</v>
      </c>
      <c r="CP192" s="6"/>
      <c r="CQ192" s="139">
        <f>SUM(CQ176:CQ191)</f>
        <v>0</v>
      </c>
      <c r="CR192" s="6"/>
      <c r="CS192" s="139" t="e">
        <f>SUM(CS176:CS191)</f>
        <v>#REF!</v>
      </c>
      <c r="CU192" s="139"/>
      <c r="CW192" s="270"/>
      <c r="CX192" s="270"/>
    </row>
    <row r="193" spans="1:102" ht="15" customHeight="1" x14ac:dyDescent="0.25">
      <c r="A193" s="312" t="s">
        <v>262</v>
      </c>
      <c r="B193" s="311" t="s">
        <v>261</v>
      </c>
      <c r="C193" s="285" t="s">
        <v>260</v>
      </c>
      <c r="D193" s="310" t="s">
        <v>259</v>
      </c>
      <c r="E193" s="285" t="s">
        <v>258</v>
      </c>
      <c r="F193" s="316">
        <f>((0.0189*(1.014*1.012*1.015)*1.1/1.13)*1.028)*(1.058)</f>
        <v>2.0841997427524902E-2</v>
      </c>
      <c r="G193" s="262">
        <f>F193*$G$1</f>
        <v>0</v>
      </c>
      <c r="I193" s="182"/>
      <c r="J193" s="181"/>
      <c r="K193" s="181">
        <v>331</v>
      </c>
      <c r="L193" s="181"/>
      <c r="M193" s="180">
        <v>237</v>
      </c>
      <c r="N193" s="284">
        <f>SUM(I193:M193)</f>
        <v>568</v>
      </c>
      <c r="O193" s="276">
        <v>1</v>
      </c>
      <c r="P193" s="272"/>
      <c r="Q193" s="275"/>
      <c r="R193" s="274"/>
      <c r="S193" s="274"/>
      <c r="T193" s="274"/>
      <c r="U193" s="274"/>
      <c r="V193" s="274"/>
      <c r="W193" s="273"/>
      <c r="X193" s="272">
        <f>P193*W$193</f>
        <v>0</v>
      </c>
      <c r="Z193" s="182"/>
      <c r="AA193" s="181"/>
      <c r="AB193" s="181"/>
      <c r="AC193" s="181"/>
      <c r="AD193" s="180">
        <v>200</v>
      </c>
      <c r="AE193" s="284">
        <f>SUM(Z193:AD193)</f>
        <v>200</v>
      </c>
      <c r="AF193" s="276">
        <v>1</v>
      </c>
      <c r="AG193" s="272"/>
      <c r="AH193" s="275"/>
      <c r="AI193" s="274"/>
      <c r="AJ193" s="274"/>
      <c r="AK193" s="274"/>
      <c r="AL193" s="274"/>
      <c r="AM193" s="274"/>
      <c r="AN193" s="273"/>
      <c r="AO193" s="272">
        <f>AG193*AN$193</f>
        <v>0</v>
      </c>
      <c r="AQ193" s="182">
        <v>536</v>
      </c>
      <c r="AR193" s="301"/>
      <c r="AS193" s="181"/>
      <c r="AT193" s="181"/>
      <c r="AU193" s="282"/>
      <c r="AV193" s="281">
        <f>SUM(AQ193:AU193)</f>
        <v>536</v>
      </c>
      <c r="AW193" s="276">
        <v>1</v>
      </c>
      <c r="AX193" s="272"/>
      <c r="AY193" s="275"/>
      <c r="AZ193" s="274"/>
      <c r="BA193" s="274"/>
      <c r="BB193" s="274"/>
      <c r="BC193" s="274"/>
      <c r="BD193" s="274"/>
      <c r="BE193" s="273"/>
      <c r="BF193" s="272"/>
      <c r="BH193" s="179"/>
      <c r="BI193" s="178"/>
      <c r="BJ193" s="178"/>
      <c r="BK193" s="178"/>
      <c r="BL193" s="177"/>
      <c r="BM193" s="277">
        <f>SUM(BH193:BL193)</f>
        <v>0</v>
      </c>
      <c r="BN193" s="276">
        <v>1</v>
      </c>
      <c r="BO193" s="272">
        <f>$G193*BM193*BN193</f>
        <v>0</v>
      </c>
      <c r="BP193" s="275" t="e">
        <f>VLOOKUP(BP5,#REF!,13,FALSE)/100+1</f>
        <v>#REF!</v>
      </c>
      <c r="BQ193" s="274" t="e">
        <f>VLOOKUP(BQ5,#REF!,13,FALSE)/100+1</f>
        <v>#REF!</v>
      </c>
      <c r="BR193" s="274" t="e">
        <f>VLOOKUP(BR5,#REF!,13,FALSE)/100+1</f>
        <v>#REF!</v>
      </c>
      <c r="BS193" s="274" t="e">
        <f>VLOOKUP(BS5,#REF!,13,FALSE)/100+1</f>
        <v>#REF!</v>
      </c>
      <c r="BT193" s="274" t="e">
        <f>VLOOKUP(BT5,#REF!,13,FALSE)/100+1</f>
        <v>#REF!</v>
      </c>
      <c r="BU193" s="274" t="e">
        <f>VLOOKUP(BU5,#REF!,13,FALSE)/100+1</f>
        <v>#REF!</v>
      </c>
      <c r="BV193" s="273" t="e">
        <f>BP193*BQ193*BR193*BS193*BT193*BU193</f>
        <v>#REF!</v>
      </c>
      <c r="BW193" s="272" t="e">
        <f>BO193*BV$193</f>
        <v>#REF!</v>
      </c>
      <c r="BY193" s="179"/>
      <c r="BZ193" s="178"/>
      <c r="CA193" s="178"/>
      <c r="CB193" s="178"/>
      <c r="CC193" s="177"/>
      <c r="CD193" s="277">
        <f>SUM(BY193:CC193)</f>
        <v>0</v>
      </c>
      <c r="CE193" s="276">
        <v>1</v>
      </c>
      <c r="CF193" s="272">
        <f>$G193*CD193*CE193</f>
        <v>0</v>
      </c>
      <c r="CG193" s="275" t="e">
        <f>VLOOKUP(CG5,#REF!,13,FALSE)/100+1</f>
        <v>#REF!</v>
      </c>
      <c r="CH193" s="274" t="e">
        <f>VLOOKUP(CH5,#REF!,13,FALSE)/100+1</f>
        <v>#REF!</v>
      </c>
      <c r="CI193" s="274" t="e">
        <f>VLOOKUP(CI5,#REF!,13,FALSE)/100+1</f>
        <v>#REF!</v>
      </c>
      <c r="CJ193" s="274" t="e">
        <f>VLOOKUP(CJ5,#REF!,13,FALSE)/100+1</f>
        <v>#REF!</v>
      </c>
      <c r="CK193" s="274" t="e">
        <f>VLOOKUP(CK5,#REF!,13,FALSE)/100+1</f>
        <v>#REF!</v>
      </c>
      <c r="CL193" s="274" t="e">
        <f>VLOOKUP(CL5,#REF!,13,FALSE)/100+1</f>
        <v>#REF!</v>
      </c>
      <c r="CM193" s="273" t="e">
        <f>CG193*CH193*CI193*CJ193*CK193*CL193</f>
        <v>#REF!</v>
      </c>
      <c r="CN193" s="272" t="e">
        <f>CF193*CM$193</f>
        <v>#REF!</v>
      </c>
      <c r="CP193" s="198"/>
      <c r="CQ193" s="271">
        <f>SUMIF(I$1:CO$1,1,I193:CO193)</f>
        <v>0</v>
      </c>
      <c r="CR193" s="6"/>
      <c r="CS193" s="271" t="e">
        <f>SUMIF(I$1:CO$1,2,I193:CO193)</f>
        <v>#REF!</v>
      </c>
      <c r="CU193" s="271">
        <f>SUMIF(I$1:CO$1,3,I193:CO193)</f>
        <v>736</v>
      </c>
      <c r="CW193" s="270"/>
      <c r="CX193" s="270"/>
    </row>
    <row r="194" spans="1:102" ht="15" customHeight="1" x14ac:dyDescent="0.25">
      <c r="A194" s="307"/>
      <c r="B194" s="73"/>
      <c r="C194" s="72" t="s">
        <v>257</v>
      </c>
      <c r="D194" s="315" t="s">
        <v>256</v>
      </c>
      <c r="E194" s="314" t="s">
        <v>255</v>
      </c>
      <c r="F194" s="313">
        <f>((0.2*(1.014*1.012*1.015)*1.1/1.13)*1.028)*(1.058)</f>
        <v>0.22055023732830586</v>
      </c>
      <c r="G194" s="262">
        <f>F194*$G$1</f>
        <v>0</v>
      </c>
      <c r="I194" s="172"/>
      <c r="J194" s="171"/>
      <c r="K194" s="171"/>
      <c r="L194" s="171"/>
      <c r="M194" s="170">
        <v>3</v>
      </c>
      <c r="N194" s="243">
        <f>SUM(I194:M194)</f>
        <v>3</v>
      </c>
      <c r="O194" s="183">
        <v>1</v>
      </c>
      <c r="P194" s="235"/>
      <c r="Q194" s="249"/>
      <c r="R194" s="248"/>
      <c r="S194" s="248"/>
      <c r="T194" s="248"/>
      <c r="U194" s="248"/>
      <c r="V194" s="248"/>
      <c r="W194" s="247"/>
      <c r="X194" s="235">
        <f>P194*W$193</f>
        <v>0</v>
      </c>
      <c r="Z194" s="172"/>
      <c r="AA194" s="171">
        <v>1</v>
      </c>
      <c r="AB194" s="171"/>
      <c r="AC194" s="171"/>
      <c r="AD194" s="170">
        <v>2</v>
      </c>
      <c r="AE194" s="243">
        <f>SUM(Z194:AD194)</f>
        <v>3</v>
      </c>
      <c r="AF194" s="183">
        <v>1</v>
      </c>
      <c r="AG194" s="235"/>
      <c r="AH194" s="249"/>
      <c r="AI194" s="248"/>
      <c r="AJ194" s="248"/>
      <c r="AK194" s="248"/>
      <c r="AL194" s="248"/>
      <c r="AM194" s="248"/>
      <c r="AN194" s="247"/>
      <c r="AO194" s="235">
        <f>AG194*AN$193</f>
        <v>0</v>
      </c>
      <c r="AQ194" s="172">
        <v>3</v>
      </c>
      <c r="AR194" s="294"/>
      <c r="AS194" s="171"/>
      <c r="AT194" s="171"/>
      <c r="AU194" s="242"/>
      <c r="AV194" s="241">
        <f>SUM(AQ194:AU194)</f>
        <v>3</v>
      </c>
      <c r="AW194" s="183">
        <v>1</v>
      </c>
      <c r="AX194" s="235"/>
      <c r="AY194" s="249"/>
      <c r="AZ194" s="248"/>
      <c r="BA194" s="248"/>
      <c r="BB194" s="248"/>
      <c r="BC194" s="248"/>
      <c r="BD194" s="248"/>
      <c r="BE194" s="247"/>
      <c r="BF194" s="235"/>
      <c r="BH194" s="167"/>
      <c r="BI194" s="166"/>
      <c r="BJ194" s="166"/>
      <c r="BK194" s="166"/>
      <c r="BL194" s="165"/>
      <c r="BM194" s="240">
        <f>SUM(BH194:BL194)</f>
        <v>0</v>
      </c>
      <c r="BN194" s="183">
        <v>1</v>
      </c>
      <c r="BO194" s="235">
        <f>$G194*BM194*BN194</f>
        <v>0</v>
      </c>
      <c r="BP194" s="249"/>
      <c r="BQ194" s="248"/>
      <c r="BR194" s="248"/>
      <c r="BS194" s="248"/>
      <c r="BT194" s="248"/>
      <c r="BU194" s="248"/>
      <c r="BV194" s="247"/>
      <c r="BW194" s="235" t="e">
        <f>BO194*BV$193</f>
        <v>#REF!</v>
      </c>
      <c r="BY194" s="167"/>
      <c r="BZ194" s="166"/>
      <c r="CA194" s="166"/>
      <c r="CB194" s="166"/>
      <c r="CC194" s="165"/>
      <c r="CD194" s="240">
        <f>SUM(BY194:CC194)</f>
        <v>0</v>
      </c>
      <c r="CE194" s="183">
        <v>1</v>
      </c>
      <c r="CF194" s="235">
        <f>$G194*CD194*CE194</f>
        <v>0</v>
      </c>
      <c r="CG194" s="249"/>
      <c r="CH194" s="248"/>
      <c r="CI194" s="248"/>
      <c r="CJ194" s="248"/>
      <c r="CK194" s="248"/>
      <c r="CL194" s="248"/>
      <c r="CM194" s="247"/>
      <c r="CN194" s="235" t="e">
        <f>CF194*CM$193</f>
        <v>#REF!</v>
      </c>
      <c r="CP194" s="198"/>
      <c r="CQ194" s="234">
        <f>SUMIF(I$1:CO$1,1,I194:CO194)</f>
        <v>0</v>
      </c>
      <c r="CR194" s="6"/>
      <c r="CS194" s="233" t="e">
        <f>SUMIF(I$1:CO$1,2,I194:CO194)</f>
        <v>#REF!</v>
      </c>
      <c r="CU194" s="233">
        <f>SUMIF(I$1:CO$1,3,I194:CO194)</f>
        <v>6</v>
      </c>
      <c r="CW194" s="270"/>
      <c r="CX194" s="270"/>
    </row>
    <row r="195" spans="1:102" ht="15" customHeight="1" x14ac:dyDescent="0.25">
      <c r="A195" s="307"/>
      <c r="B195" s="257" t="s">
        <v>178</v>
      </c>
      <c r="C195" s="72" t="s">
        <v>24</v>
      </c>
      <c r="D195" s="255" t="s">
        <v>175</v>
      </c>
      <c r="E195" s="254"/>
      <c r="F195" s="308"/>
      <c r="G195" s="308">
        <f>F195</f>
        <v>0</v>
      </c>
      <c r="I195" s="172"/>
      <c r="J195" s="171"/>
      <c r="K195" s="171"/>
      <c r="L195" s="171"/>
      <c r="M195" s="170"/>
      <c r="N195" s="243">
        <f>SUM(I195:M195)</f>
        <v>0</v>
      </c>
      <c r="O195" s="183">
        <v>1</v>
      </c>
      <c r="P195" s="235"/>
      <c r="Q195" s="249"/>
      <c r="R195" s="248"/>
      <c r="S195" s="248"/>
      <c r="T195" s="248"/>
      <c r="U195" s="248"/>
      <c r="V195" s="248"/>
      <c r="W195" s="247"/>
      <c r="X195" s="235">
        <f>P195*W$193</f>
        <v>0</v>
      </c>
      <c r="Z195" s="172"/>
      <c r="AA195" s="171"/>
      <c r="AB195" s="171"/>
      <c r="AC195" s="171"/>
      <c r="AD195" s="170"/>
      <c r="AE195" s="243">
        <f>SUM(Z195:AD195)</f>
        <v>0</v>
      </c>
      <c r="AF195" s="183">
        <v>1</v>
      </c>
      <c r="AG195" s="235"/>
      <c r="AH195" s="249"/>
      <c r="AI195" s="248"/>
      <c r="AJ195" s="248"/>
      <c r="AK195" s="248"/>
      <c r="AL195" s="248"/>
      <c r="AM195" s="248"/>
      <c r="AN195" s="247"/>
      <c r="AO195" s="235">
        <f>AG195*AN$193</f>
        <v>0</v>
      </c>
      <c r="AQ195" s="172"/>
      <c r="AR195" s="294"/>
      <c r="AS195" s="171"/>
      <c r="AT195" s="171"/>
      <c r="AU195" s="242"/>
      <c r="AV195" s="241">
        <f>SUM(AQ195:AU195)</f>
        <v>0</v>
      </c>
      <c r="AW195" s="183">
        <v>1</v>
      </c>
      <c r="AX195" s="235"/>
      <c r="AY195" s="249"/>
      <c r="AZ195" s="248"/>
      <c r="BA195" s="248"/>
      <c r="BB195" s="248"/>
      <c r="BC195" s="248"/>
      <c r="BD195" s="248"/>
      <c r="BE195" s="247"/>
      <c r="BF195" s="235"/>
      <c r="BH195" s="167"/>
      <c r="BI195" s="166"/>
      <c r="BJ195" s="166"/>
      <c r="BK195" s="166"/>
      <c r="BL195" s="165"/>
      <c r="BM195" s="240">
        <f>SUM(BH195:BL195)</f>
        <v>0</v>
      </c>
      <c r="BN195" s="183">
        <v>1</v>
      </c>
      <c r="BO195" s="235">
        <f>$G195*BM195*BN195</f>
        <v>0</v>
      </c>
      <c r="BP195" s="249"/>
      <c r="BQ195" s="248"/>
      <c r="BR195" s="248"/>
      <c r="BS195" s="248"/>
      <c r="BT195" s="248"/>
      <c r="BU195" s="248"/>
      <c r="BV195" s="247"/>
      <c r="BW195" s="235" t="e">
        <f>BO195*BV$193</f>
        <v>#REF!</v>
      </c>
      <c r="BY195" s="167"/>
      <c r="BZ195" s="166"/>
      <c r="CA195" s="166"/>
      <c r="CB195" s="166"/>
      <c r="CC195" s="165"/>
      <c r="CD195" s="240">
        <f>SUM(BY195:CC195)</f>
        <v>0</v>
      </c>
      <c r="CE195" s="183">
        <v>1</v>
      </c>
      <c r="CF195" s="235">
        <f>$G195*CD195*CE195</f>
        <v>0</v>
      </c>
      <c r="CG195" s="249"/>
      <c r="CH195" s="248"/>
      <c r="CI195" s="248"/>
      <c r="CJ195" s="248"/>
      <c r="CK195" s="248"/>
      <c r="CL195" s="248"/>
      <c r="CM195" s="247"/>
      <c r="CN195" s="235" t="e">
        <f>CF195*CM$193</f>
        <v>#REF!</v>
      </c>
      <c r="CP195" s="198"/>
      <c r="CQ195" s="234">
        <f>SUMIF(I$1:CO$1,1,I195:CO195)</f>
        <v>0</v>
      </c>
      <c r="CR195" s="6"/>
      <c r="CS195" s="233" t="e">
        <f>SUMIF(I$1:CO$1,2,I195:CO195)</f>
        <v>#REF!</v>
      </c>
      <c r="CU195" s="233">
        <f>SUMIF(I$1:CO$1,3,I195:CO195)</f>
        <v>0</v>
      </c>
      <c r="CW195" s="270"/>
      <c r="CX195" s="270"/>
    </row>
    <row r="196" spans="1:102" ht="15" customHeight="1" x14ac:dyDescent="0.25">
      <c r="A196" s="307"/>
      <c r="B196" s="244"/>
      <c r="C196" s="72" t="s">
        <v>23</v>
      </c>
      <c r="D196" s="255" t="s">
        <v>175</v>
      </c>
      <c r="E196" s="254"/>
      <c r="F196" s="308"/>
      <c r="G196" s="308">
        <f>F196</f>
        <v>0</v>
      </c>
      <c r="I196" s="172"/>
      <c r="J196" s="171"/>
      <c r="K196" s="171"/>
      <c r="L196" s="171"/>
      <c r="M196" s="170"/>
      <c r="N196" s="243">
        <f>SUM(I196:M196)</f>
        <v>0</v>
      </c>
      <c r="O196" s="183">
        <v>1</v>
      </c>
      <c r="P196" s="235"/>
      <c r="Q196" s="249"/>
      <c r="R196" s="248"/>
      <c r="S196" s="248"/>
      <c r="T196" s="248"/>
      <c r="U196" s="248"/>
      <c r="V196" s="248"/>
      <c r="W196" s="247"/>
      <c r="X196" s="235">
        <f>P196*W$193</f>
        <v>0</v>
      </c>
      <c r="Z196" s="172"/>
      <c r="AA196" s="171"/>
      <c r="AB196" s="171"/>
      <c r="AC196" s="171"/>
      <c r="AD196" s="170"/>
      <c r="AE196" s="243">
        <f>SUM(Z196:AD196)</f>
        <v>0</v>
      </c>
      <c r="AF196" s="183">
        <v>1</v>
      </c>
      <c r="AG196" s="235"/>
      <c r="AH196" s="249"/>
      <c r="AI196" s="248"/>
      <c r="AJ196" s="248"/>
      <c r="AK196" s="248"/>
      <c r="AL196" s="248"/>
      <c r="AM196" s="248"/>
      <c r="AN196" s="247"/>
      <c r="AO196" s="235">
        <f>AG196*AN$193</f>
        <v>0</v>
      </c>
      <c r="AQ196" s="172"/>
      <c r="AR196" s="294"/>
      <c r="AS196" s="171"/>
      <c r="AT196" s="171"/>
      <c r="AU196" s="242"/>
      <c r="AV196" s="241">
        <f>SUM(AQ196:AU196)</f>
        <v>0</v>
      </c>
      <c r="AW196" s="183">
        <v>1</v>
      </c>
      <c r="AX196" s="235"/>
      <c r="AY196" s="249"/>
      <c r="AZ196" s="248"/>
      <c r="BA196" s="248"/>
      <c r="BB196" s="248"/>
      <c r="BC196" s="248"/>
      <c r="BD196" s="248"/>
      <c r="BE196" s="247"/>
      <c r="BF196" s="235"/>
      <c r="BH196" s="167"/>
      <c r="BI196" s="166"/>
      <c r="BJ196" s="166"/>
      <c r="BK196" s="166"/>
      <c r="BL196" s="165"/>
      <c r="BM196" s="240">
        <f>SUM(BH196:BL196)</f>
        <v>0</v>
      </c>
      <c r="BN196" s="183">
        <v>1</v>
      </c>
      <c r="BO196" s="235">
        <f>$G196*BM196*BN196</f>
        <v>0</v>
      </c>
      <c r="BP196" s="249"/>
      <c r="BQ196" s="248"/>
      <c r="BR196" s="248"/>
      <c r="BS196" s="248"/>
      <c r="BT196" s="248"/>
      <c r="BU196" s="248"/>
      <c r="BV196" s="247"/>
      <c r="BW196" s="235" t="e">
        <f>BO196*BV$193</f>
        <v>#REF!</v>
      </c>
      <c r="BY196" s="167"/>
      <c r="BZ196" s="166"/>
      <c r="CA196" s="166"/>
      <c r="CB196" s="166"/>
      <c r="CC196" s="165"/>
      <c r="CD196" s="240">
        <f>SUM(BY196:CC196)</f>
        <v>0</v>
      </c>
      <c r="CE196" s="183">
        <v>1</v>
      </c>
      <c r="CF196" s="235">
        <f>$G196*CD196*CE196</f>
        <v>0</v>
      </c>
      <c r="CG196" s="249"/>
      <c r="CH196" s="248"/>
      <c r="CI196" s="248"/>
      <c r="CJ196" s="248"/>
      <c r="CK196" s="248"/>
      <c r="CL196" s="248"/>
      <c r="CM196" s="247"/>
      <c r="CN196" s="235" t="e">
        <f>CF196*CM$193</f>
        <v>#REF!</v>
      </c>
      <c r="CP196" s="198"/>
      <c r="CQ196" s="234">
        <f>SUMIF(I$1:CO$1,1,I196:CO196)</f>
        <v>0</v>
      </c>
      <c r="CR196" s="6"/>
      <c r="CS196" s="233" t="e">
        <f>SUMIF(I$1:CO$1,2,I196:CO196)</f>
        <v>#REF!</v>
      </c>
      <c r="CU196" s="233">
        <f>SUMIF(I$1:CO$1,3,I196:CO196)</f>
        <v>0</v>
      </c>
      <c r="CW196" s="270"/>
      <c r="CX196" s="270"/>
    </row>
    <row r="197" spans="1:102" ht="15" customHeight="1" x14ac:dyDescent="0.25">
      <c r="A197" s="307"/>
      <c r="B197" s="244"/>
      <c r="C197" s="72" t="s">
        <v>22</v>
      </c>
      <c r="D197" s="252" t="s">
        <v>173</v>
      </c>
      <c r="E197" s="174" t="s">
        <v>106</v>
      </c>
      <c r="F197" s="292"/>
      <c r="G197" s="292">
        <f>F197</f>
        <v>0</v>
      </c>
      <c r="I197" s="172"/>
      <c r="J197" s="171"/>
      <c r="K197" s="171"/>
      <c r="L197" s="171"/>
      <c r="M197" s="170"/>
      <c r="N197" s="243"/>
      <c r="O197" s="239"/>
      <c r="P197" s="235"/>
      <c r="Q197" s="249"/>
      <c r="R197" s="248"/>
      <c r="S197" s="248"/>
      <c r="T197" s="248"/>
      <c r="U197" s="248"/>
      <c r="V197" s="248"/>
      <c r="W197" s="247"/>
      <c r="X197" s="235">
        <f>P197*W$193</f>
        <v>0</v>
      </c>
      <c r="Z197" s="172"/>
      <c r="AA197" s="171"/>
      <c r="AB197" s="171"/>
      <c r="AC197" s="171"/>
      <c r="AD197" s="170"/>
      <c r="AE197" s="243"/>
      <c r="AF197" s="239"/>
      <c r="AG197" s="235"/>
      <c r="AH197" s="249"/>
      <c r="AI197" s="248"/>
      <c r="AJ197" s="248"/>
      <c r="AK197" s="248"/>
      <c r="AL197" s="248"/>
      <c r="AM197" s="248"/>
      <c r="AN197" s="247"/>
      <c r="AO197" s="235">
        <f>AG197*AN$193</f>
        <v>0</v>
      </c>
      <c r="AQ197" s="172"/>
      <c r="AR197" s="294"/>
      <c r="AS197" s="171"/>
      <c r="AT197" s="171"/>
      <c r="AU197" s="242"/>
      <c r="AV197" s="241"/>
      <c r="AW197" s="239"/>
      <c r="AX197" s="235"/>
      <c r="AY197" s="249"/>
      <c r="AZ197" s="248"/>
      <c r="BA197" s="248"/>
      <c r="BB197" s="248"/>
      <c r="BC197" s="248"/>
      <c r="BD197" s="248"/>
      <c r="BE197" s="247"/>
      <c r="BF197" s="235"/>
      <c r="BH197" s="167"/>
      <c r="BI197" s="166"/>
      <c r="BJ197" s="166"/>
      <c r="BK197" s="166"/>
      <c r="BL197" s="165"/>
      <c r="BM197" s="240"/>
      <c r="BN197" s="239"/>
      <c r="BO197" s="235">
        <f>SUM(BH197:BL197)</f>
        <v>0</v>
      </c>
      <c r="BP197" s="249"/>
      <c r="BQ197" s="248"/>
      <c r="BR197" s="248"/>
      <c r="BS197" s="248"/>
      <c r="BT197" s="248"/>
      <c r="BU197" s="248"/>
      <c r="BV197" s="247"/>
      <c r="BW197" s="235" t="e">
        <f>BO197*BV$193</f>
        <v>#REF!</v>
      </c>
      <c r="BY197" s="167"/>
      <c r="BZ197" s="166"/>
      <c r="CA197" s="166"/>
      <c r="CB197" s="166"/>
      <c r="CC197" s="165"/>
      <c r="CD197" s="240"/>
      <c r="CE197" s="239"/>
      <c r="CF197" s="235">
        <f>SUM(BY197:CC197)</f>
        <v>0</v>
      </c>
      <c r="CG197" s="249"/>
      <c r="CH197" s="248"/>
      <c r="CI197" s="248"/>
      <c r="CJ197" s="248"/>
      <c r="CK197" s="248"/>
      <c r="CL197" s="248"/>
      <c r="CM197" s="247"/>
      <c r="CN197" s="235" t="e">
        <f>CF197*CM$193</f>
        <v>#REF!</v>
      </c>
      <c r="CP197" s="198"/>
      <c r="CQ197" s="234">
        <f>SUMIF(I$1:CO$1,1,I197:CO197)</f>
        <v>0</v>
      </c>
      <c r="CR197" s="6"/>
      <c r="CS197" s="233" t="e">
        <f>SUMIF(I$1:CO$1,2,I197:CO197)</f>
        <v>#REF!</v>
      </c>
      <c r="CU197" s="233">
        <f>SUMIF(I$1:CO$1,3,I197:CO197)</f>
        <v>0</v>
      </c>
      <c r="CW197" s="270"/>
      <c r="CX197" s="270"/>
    </row>
    <row r="198" spans="1:102" ht="15" customHeight="1" x14ac:dyDescent="0.25">
      <c r="A198" s="307"/>
      <c r="B198" s="244"/>
      <c r="C198" s="72" t="s">
        <v>21</v>
      </c>
      <c r="D198" s="199" t="s">
        <v>173</v>
      </c>
      <c r="E198" s="174" t="s">
        <v>106</v>
      </c>
      <c r="F198" s="292"/>
      <c r="G198" s="292">
        <f>F198</f>
        <v>0</v>
      </c>
      <c r="I198" s="172"/>
      <c r="J198" s="171"/>
      <c r="K198" s="171"/>
      <c r="L198" s="171"/>
      <c r="M198" s="170"/>
      <c r="N198" s="243"/>
      <c r="O198" s="239"/>
      <c r="P198" s="235"/>
      <c r="Q198" s="238"/>
      <c r="R198" s="237"/>
      <c r="S198" s="237"/>
      <c r="T198" s="237"/>
      <c r="U198" s="237"/>
      <c r="V198" s="237"/>
      <c r="W198" s="236"/>
      <c r="X198" s="235">
        <f>P198*W$193</f>
        <v>0</v>
      </c>
      <c r="Z198" s="172"/>
      <c r="AA198" s="171"/>
      <c r="AB198" s="171"/>
      <c r="AC198" s="171"/>
      <c r="AD198" s="170"/>
      <c r="AE198" s="243"/>
      <c r="AF198" s="239"/>
      <c r="AG198" s="235"/>
      <c r="AH198" s="238"/>
      <c r="AI198" s="237"/>
      <c r="AJ198" s="237"/>
      <c r="AK198" s="237"/>
      <c r="AL198" s="237"/>
      <c r="AM198" s="237"/>
      <c r="AN198" s="236"/>
      <c r="AO198" s="235">
        <f>AG198*AN$193</f>
        <v>0</v>
      </c>
      <c r="AQ198" s="172"/>
      <c r="AR198" s="294"/>
      <c r="AS198" s="171"/>
      <c r="AT198" s="171"/>
      <c r="AU198" s="242"/>
      <c r="AV198" s="241"/>
      <c r="AW198" s="239"/>
      <c r="AX198" s="235"/>
      <c r="AY198" s="238"/>
      <c r="AZ198" s="237"/>
      <c r="BA198" s="237"/>
      <c r="BB198" s="237"/>
      <c r="BC198" s="237"/>
      <c r="BD198" s="237"/>
      <c r="BE198" s="236"/>
      <c r="BF198" s="235"/>
      <c r="BH198" s="167"/>
      <c r="BI198" s="166"/>
      <c r="BJ198" s="166"/>
      <c r="BK198" s="166"/>
      <c r="BL198" s="165"/>
      <c r="BM198" s="240"/>
      <c r="BN198" s="239"/>
      <c r="BO198" s="235">
        <f>SUM(BH198:BL198)</f>
        <v>0</v>
      </c>
      <c r="BP198" s="238"/>
      <c r="BQ198" s="237"/>
      <c r="BR198" s="237"/>
      <c r="BS198" s="237"/>
      <c r="BT198" s="237"/>
      <c r="BU198" s="237"/>
      <c r="BV198" s="236"/>
      <c r="BW198" s="235" t="e">
        <f>BO198*BV$193</f>
        <v>#REF!</v>
      </c>
      <c r="BY198" s="167"/>
      <c r="BZ198" s="166"/>
      <c r="CA198" s="166"/>
      <c r="CB198" s="166"/>
      <c r="CC198" s="165"/>
      <c r="CD198" s="240"/>
      <c r="CE198" s="239"/>
      <c r="CF198" s="235">
        <f>SUM(BY198:CC198)</f>
        <v>0</v>
      </c>
      <c r="CG198" s="238"/>
      <c r="CH198" s="237"/>
      <c r="CI198" s="237"/>
      <c r="CJ198" s="237"/>
      <c r="CK198" s="237"/>
      <c r="CL198" s="237"/>
      <c r="CM198" s="236"/>
      <c r="CN198" s="235" t="e">
        <f>CF198*CM$193</f>
        <v>#REF!</v>
      </c>
      <c r="CP198" s="6"/>
      <c r="CQ198" s="234">
        <f>SUMIF(I$1:CO$1,1,I198:CO198)</f>
        <v>0</v>
      </c>
      <c r="CR198" s="6"/>
      <c r="CS198" s="233" t="e">
        <f>SUMIF(I$1:CO$1,2,I198:CO198)</f>
        <v>#REF!</v>
      </c>
      <c r="CU198" s="233">
        <f>SUMIF(I$1:CO$1,3,I198:CO198)</f>
        <v>0</v>
      </c>
      <c r="CW198" s="270"/>
      <c r="CX198" s="270"/>
    </row>
    <row r="199" spans="1:102" ht="15" customHeight="1" thickBot="1" x14ac:dyDescent="0.3">
      <c r="A199" s="306"/>
      <c r="B199" s="231"/>
      <c r="C199" s="229"/>
      <c r="D199" s="230" t="s">
        <v>148</v>
      </c>
      <c r="E199" s="229"/>
      <c r="F199" s="289"/>
      <c r="G199" s="289"/>
      <c r="I199" s="227"/>
      <c r="J199" s="226"/>
      <c r="K199" s="226"/>
      <c r="L199" s="226"/>
      <c r="M199" s="225"/>
      <c r="N199" s="224"/>
      <c r="O199" s="218"/>
      <c r="P199" s="217"/>
      <c r="Q199" s="219"/>
      <c r="R199" s="219"/>
      <c r="S199" s="219"/>
      <c r="T199" s="219"/>
      <c r="U199" s="219"/>
      <c r="V199" s="219"/>
      <c r="W199" s="218"/>
      <c r="X199" s="217">
        <f>SUM(X193:X198)</f>
        <v>0</v>
      </c>
      <c r="Z199" s="304"/>
      <c r="AA199" s="305"/>
      <c r="AB199" s="305"/>
      <c r="AC199" s="305"/>
      <c r="AD199" s="289"/>
      <c r="AE199" s="224"/>
      <c r="AF199" s="218"/>
      <c r="AG199" s="217"/>
      <c r="AH199" s="219"/>
      <c r="AI199" s="219"/>
      <c r="AJ199" s="219"/>
      <c r="AK199" s="219"/>
      <c r="AL199" s="219"/>
      <c r="AM199" s="219"/>
      <c r="AN199" s="218"/>
      <c r="AO199" s="217">
        <f>SUM(AO193:AO198)</f>
        <v>0</v>
      </c>
      <c r="AQ199" s="304"/>
      <c r="AR199" s="226"/>
      <c r="AS199" s="226"/>
      <c r="AT199" s="226"/>
      <c r="AU199" s="226"/>
      <c r="AV199" s="223"/>
      <c r="AW199" s="218"/>
      <c r="AX199" s="217"/>
      <c r="AY199" s="219"/>
      <c r="AZ199" s="219"/>
      <c r="BA199" s="219"/>
      <c r="BB199" s="219"/>
      <c r="BC199" s="219"/>
      <c r="BD199" s="219"/>
      <c r="BE199" s="218"/>
      <c r="BF199" s="217"/>
      <c r="BH199" s="222"/>
      <c r="BI199" s="221"/>
      <c r="BJ199" s="221"/>
      <c r="BK199" s="221"/>
      <c r="BL199" s="221"/>
      <c r="BM199" s="220"/>
      <c r="BN199" s="218"/>
      <c r="BO199" s="217">
        <f>SUM(BO193:BO198)</f>
        <v>0</v>
      </c>
      <c r="BP199" s="219"/>
      <c r="BQ199" s="219"/>
      <c r="BR199" s="219"/>
      <c r="BS199" s="219"/>
      <c r="BT199" s="219"/>
      <c r="BU199" s="219"/>
      <c r="BV199" s="218"/>
      <c r="BW199" s="217" t="e">
        <f>SUM(BW193:BW198)</f>
        <v>#REF!</v>
      </c>
      <c r="BY199" s="222"/>
      <c r="BZ199" s="221"/>
      <c r="CA199" s="221"/>
      <c r="CB199" s="221"/>
      <c r="CC199" s="221"/>
      <c r="CD199" s="220"/>
      <c r="CE199" s="218"/>
      <c r="CF199" s="217">
        <f>SUM(CF193:CF198)</f>
        <v>0</v>
      </c>
      <c r="CG199" s="219"/>
      <c r="CH199" s="219"/>
      <c r="CI199" s="219"/>
      <c r="CJ199" s="219"/>
      <c r="CK199" s="219"/>
      <c r="CL199" s="219"/>
      <c r="CM199" s="218"/>
      <c r="CN199" s="217" t="e">
        <f>SUM(CN193:CN198)</f>
        <v>#REF!</v>
      </c>
      <c r="CP199" s="6"/>
      <c r="CQ199" s="139">
        <f>SUM(CQ193:CQ198)</f>
        <v>0</v>
      </c>
      <c r="CR199" s="6"/>
      <c r="CS199" s="139" t="e">
        <f>SUM(CS193:CS198)</f>
        <v>#REF!</v>
      </c>
      <c r="CU199" s="139"/>
      <c r="CW199" s="270"/>
      <c r="CX199" s="270"/>
    </row>
    <row r="200" spans="1:102" ht="15" customHeight="1" x14ac:dyDescent="0.25">
      <c r="A200" s="312" t="s">
        <v>109</v>
      </c>
      <c r="B200" s="311" t="s">
        <v>254</v>
      </c>
      <c r="C200" s="285" t="s">
        <v>253</v>
      </c>
      <c r="D200" s="310" t="s">
        <v>252</v>
      </c>
      <c r="E200" s="285" t="s">
        <v>240</v>
      </c>
      <c r="F200" s="263">
        <f>(0.008*(1.014*1.012*1.015)*1.1/1.13)*1.028*(1.058)</f>
        <v>8.8220094931322351E-3</v>
      </c>
      <c r="G200" s="262">
        <f>F200*$G$1</f>
        <v>0</v>
      </c>
      <c r="I200" s="182"/>
      <c r="J200" s="181"/>
      <c r="K200" s="181"/>
      <c r="L200" s="181"/>
      <c r="M200" s="180"/>
      <c r="N200" s="284">
        <f>SUM(I200:M200)</f>
        <v>0</v>
      </c>
      <c r="O200" s="276">
        <v>1</v>
      </c>
      <c r="P200" s="272"/>
      <c r="Q200" s="275"/>
      <c r="R200" s="274"/>
      <c r="S200" s="274"/>
      <c r="T200" s="274"/>
      <c r="U200" s="274"/>
      <c r="V200" s="274"/>
      <c r="W200" s="273"/>
      <c r="X200" s="272">
        <f>P200*W$200</f>
        <v>0</v>
      </c>
      <c r="Z200" s="182"/>
      <c r="AA200" s="283"/>
      <c r="AB200" s="181"/>
      <c r="AC200" s="181"/>
      <c r="AD200" s="180"/>
      <c r="AE200" s="284">
        <f>SUM(Z200:AD200)</f>
        <v>0</v>
      </c>
      <c r="AF200" s="276">
        <v>1</v>
      </c>
      <c r="AG200" s="272"/>
      <c r="AH200" s="275"/>
      <c r="AI200" s="274"/>
      <c r="AJ200" s="274"/>
      <c r="AK200" s="274"/>
      <c r="AL200" s="274"/>
      <c r="AM200" s="274"/>
      <c r="AN200" s="273"/>
      <c r="AO200" s="272">
        <f>AG200*AN$200</f>
        <v>0</v>
      </c>
      <c r="AQ200" s="182"/>
      <c r="AR200" s="301"/>
      <c r="AS200" s="181"/>
      <c r="AT200" s="181"/>
      <c r="AU200" s="282"/>
      <c r="AV200" s="281">
        <f>SUM(AQ200:AU200)</f>
        <v>0</v>
      </c>
      <c r="AW200" s="276">
        <v>1</v>
      </c>
      <c r="AX200" s="272"/>
      <c r="AY200" s="275"/>
      <c r="AZ200" s="274"/>
      <c r="BA200" s="274"/>
      <c r="BB200" s="274"/>
      <c r="BC200" s="274"/>
      <c r="BD200" s="274"/>
      <c r="BE200" s="273"/>
      <c r="BF200" s="272"/>
      <c r="BH200" s="280"/>
      <c r="BI200" s="178"/>
      <c r="BJ200" s="178"/>
      <c r="BK200" s="178"/>
      <c r="BL200" s="177"/>
      <c r="BM200" s="277">
        <f>SUM(BH200:BL200)</f>
        <v>0</v>
      </c>
      <c r="BN200" s="276">
        <v>1</v>
      </c>
      <c r="BO200" s="272">
        <f>$G200*BM200*BN200</f>
        <v>0</v>
      </c>
      <c r="BP200" s="275" t="e">
        <f>VLOOKUP(BP5,#REF!,14,FALSE)/100+1</f>
        <v>#REF!</v>
      </c>
      <c r="BQ200" s="274" t="e">
        <f>VLOOKUP(BQ5,#REF!,14,FALSE)/100+1</f>
        <v>#REF!</v>
      </c>
      <c r="BR200" s="274" t="e">
        <f>VLOOKUP(BR5,#REF!,14,FALSE)/100+1</f>
        <v>#REF!</v>
      </c>
      <c r="BS200" s="274" t="e">
        <f>VLOOKUP(BS5,#REF!,14,FALSE)/100+1</f>
        <v>#REF!</v>
      </c>
      <c r="BT200" s="274" t="e">
        <f>VLOOKUP(BT5,#REF!,14,FALSE)/100+1</f>
        <v>#REF!</v>
      </c>
      <c r="BU200" s="274" t="e">
        <f>VLOOKUP(BU5,#REF!,14,FALSE)/100+1</f>
        <v>#REF!</v>
      </c>
      <c r="BV200" s="273" t="e">
        <f>BP200*BQ200*BR200*BS200*BT200*BU200</f>
        <v>#REF!</v>
      </c>
      <c r="BW200" s="272" t="e">
        <f>BO200*BV$200</f>
        <v>#REF!</v>
      </c>
      <c r="BY200" s="280"/>
      <c r="BZ200" s="178"/>
      <c r="CA200" s="178"/>
      <c r="CB200" s="178"/>
      <c r="CC200" s="177"/>
      <c r="CD200" s="277">
        <f>SUM(BY200:CC200)</f>
        <v>0</v>
      </c>
      <c r="CE200" s="276">
        <v>1</v>
      </c>
      <c r="CF200" s="272">
        <f>$G200*CD200*CE200</f>
        <v>0</v>
      </c>
      <c r="CG200" s="275" t="e">
        <f>VLOOKUP(CG5,#REF!,14,FALSE)/100+1</f>
        <v>#REF!</v>
      </c>
      <c r="CH200" s="274" t="e">
        <f>VLOOKUP(CH5,#REF!,14,FALSE)/100+1</f>
        <v>#REF!</v>
      </c>
      <c r="CI200" s="274" t="e">
        <f>VLOOKUP(CI5,#REF!,14,FALSE)/100+1</f>
        <v>#REF!</v>
      </c>
      <c r="CJ200" s="274" t="e">
        <f>VLOOKUP(CJ5,#REF!,14,FALSE)/100+1</f>
        <v>#REF!</v>
      </c>
      <c r="CK200" s="274" t="e">
        <f>VLOOKUP(CK5,#REF!,14,FALSE)/100+1</f>
        <v>#REF!</v>
      </c>
      <c r="CL200" s="274" t="e">
        <f>VLOOKUP(CL5,#REF!,14,FALSE)/100+1</f>
        <v>#REF!</v>
      </c>
      <c r="CM200" s="273" t="e">
        <f>CG200*CH200*CI200*CJ200*CK200*CL200</f>
        <v>#REF!</v>
      </c>
      <c r="CN200" s="272" t="e">
        <f>CF200*CM$200</f>
        <v>#REF!</v>
      </c>
      <c r="CP200" s="198"/>
      <c r="CQ200" s="271">
        <f>SUMIF(I$1:CO$1,1,I200:CO200)</f>
        <v>0</v>
      </c>
      <c r="CR200" s="6"/>
      <c r="CS200" s="271" t="e">
        <f>SUMIF(I$1:CO$1,2,I200:CO200)</f>
        <v>#REF!</v>
      </c>
      <c r="CU200" s="271">
        <f>SUMIF(I$1:CO$1,3,I200:CO200)</f>
        <v>0</v>
      </c>
      <c r="CW200" s="270"/>
      <c r="CX200" s="270"/>
    </row>
    <row r="201" spans="1:102" ht="15" customHeight="1" x14ac:dyDescent="0.25">
      <c r="A201" s="307"/>
      <c r="B201" s="75"/>
      <c r="C201" s="72" t="s">
        <v>251</v>
      </c>
      <c r="D201" s="309" t="s">
        <v>250</v>
      </c>
      <c r="E201" s="72" t="s">
        <v>240</v>
      </c>
      <c r="F201" s="263">
        <f>(0.0055*(1.014*1.012*1.015)*1.1/1.13)*1.028*(1.058)</f>
        <v>6.0651315265284108E-3</v>
      </c>
      <c r="G201" s="262">
        <f>F201*$G$1</f>
        <v>0</v>
      </c>
      <c r="I201" s="172"/>
      <c r="J201" s="171"/>
      <c r="K201" s="171">
        <v>168.48964041921226</v>
      </c>
      <c r="L201" s="171"/>
      <c r="M201" s="170"/>
      <c r="N201" s="243">
        <f>SUM(I201:M201)</f>
        <v>168.48964041921226</v>
      </c>
      <c r="O201" s="183">
        <v>1</v>
      </c>
      <c r="P201" s="235"/>
      <c r="Q201" s="249"/>
      <c r="R201" s="248"/>
      <c r="S201" s="248"/>
      <c r="T201" s="248"/>
      <c r="U201" s="248"/>
      <c r="V201" s="248"/>
      <c r="W201" s="247"/>
      <c r="X201" s="235">
        <f>P201*W$200</f>
        <v>0</v>
      </c>
      <c r="Z201" s="172"/>
      <c r="AA201" s="171"/>
      <c r="AB201" s="171"/>
      <c r="AC201" s="171"/>
      <c r="AD201" s="170"/>
      <c r="AE201" s="243">
        <f>SUM(Z201:AD201)</f>
        <v>0</v>
      </c>
      <c r="AF201" s="183">
        <v>1</v>
      </c>
      <c r="AG201" s="235"/>
      <c r="AH201" s="249"/>
      <c r="AI201" s="248"/>
      <c r="AJ201" s="248"/>
      <c r="AK201" s="248"/>
      <c r="AL201" s="248"/>
      <c r="AM201" s="248"/>
      <c r="AN201" s="247"/>
      <c r="AO201" s="235">
        <f>AG201*AN$200</f>
        <v>0</v>
      </c>
      <c r="AQ201" s="172"/>
      <c r="AR201" s="294">
        <v>410.97629278070099</v>
      </c>
      <c r="AS201" s="171"/>
      <c r="AT201" s="171"/>
      <c r="AU201" s="242"/>
      <c r="AV201" s="241">
        <f>SUM(AQ201:AU201)</f>
        <v>410.97629278070099</v>
      </c>
      <c r="AW201" s="183">
        <v>1</v>
      </c>
      <c r="AX201" s="235"/>
      <c r="AY201" s="249"/>
      <c r="AZ201" s="248"/>
      <c r="BA201" s="248"/>
      <c r="BB201" s="248"/>
      <c r="BC201" s="248"/>
      <c r="BD201" s="248"/>
      <c r="BE201" s="247"/>
      <c r="BF201" s="235"/>
      <c r="BH201" s="260"/>
      <c r="BI201" s="166"/>
      <c r="BJ201" s="166"/>
      <c r="BK201" s="166"/>
      <c r="BL201" s="165"/>
      <c r="BM201" s="240">
        <f>SUM(BH201:BL201)</f>
        <v>0</v>
      </c>
      <c r="BN201" s="183">
        <v>1</v>
      </c>
      <c r="BO201" s="235">
        <f>$G201*BM201*BN201</f>
        <v>0</v>
      </c>
      <c r="BP201" s="249"/>
      <c r="BQ201" s="248"/>
      <c r="BR201" s="248"/>
      <c r="BS201" s="248"/>
      <c r="BT201" s="248"/>
      <c r="BU201" s="248"/>
      <c r="BV201" s="247"/>
      <c r="BW201" s="235" t="e">
        <f>BO201*BV$200</f>
        <v>#REF!</v>
      </c>
      <c r="BY201" s="260"/>
      <c r="BZ201" s="166"/>
      <c r="CA201" s="166"/>
      <c r="CB201" s="166"/>
      <c r="CC201" s="165"/>
      <c r="CD201" s="240">
        <f>SUM(BY201:CC201)</f>
        <v>0</v>
      </c>
      <c r="CE201" s="183">
        <v>1</v>
      </c>
      <c r="CF201" s="235">
        <f>$G201*CD201*CE201</f>
        <v>0</v>
      </c>
      <c r="CG201" s="249"/>
      <c r="CH201" s="248"/>
      <c r="CI201" s="248"/>
      <c r="CJ201" s="248"/>
      <c r="CK201" s="248"/>
      <c r="CL201" s="248"/>
      <c r="CM201" s="247"/>
      <c r="CN201" s="235" t="e">
        <f>CF201*CM$200</f>
        <v>#REF!</v>
      </c>
      <c r="CP201" s="198"/>
      <c r="CQ201" s="234">
        <f>SUMIF(I$1:CO$1,1,I201:CO201)</f>
        <v>0</v>
      </c>
      <c r="CR201" s="6"/>
      <c r="CS201" s="233" t="e">
        <f>SUMIF(I$1:CO$1,2,I201:CO201)</f>
        <v>#REF!</v>
      </c>
      <c r="CU201" s="233">
        <f>SUMIF(I$1:CO$1,3,I201:CO201)</f>
        <v>410.97629278070099</v>
      </c>
      <c r="CW201" s="270"/>
      <c r="CX201" s="270"/>
    </row>
    <row r="202" spans="1:102" ht="15" customHeight="1" x14ac:dyDescent="0.25">
      <c r="A202" s="307"/>
      <c r="B202" s="75"/>
      <c r="C202" s="72" t="s">
        <v>249</v>
      </c>
      <c r="D202" s="309" t="s">
        <v>248</v>
      </c>
      <c r="E202" s="72" t="s">
        <v>240</v>
      </c>
      <c r="F202" s="263">
        <f>(0.01*(1.014*1.012*1.015)*1.1/1.13)*1.028*(1.058)</f>
        <v>1.102751186641529E-2</v>
      </c>
      <c r="G202" s="262">
        <f>F202*$G$1</f>
        <v>0</v>
      </c>
      <c r="I202" s="172"/>
      <c r="J202" s="171"/>
      <c r="K202" s="171"/>
      <c r="L202" s="171"/>
      <c r="M202" s="170"/>
      <c r="N202" s="243">
        <f>SUM(I202:M202)</f>
        <v>0</v>
      </c>
      <c r="O202" s="183">
        <v>1</v>
      </c>
      <c r="P202" s="235"/>
      <c r="Q202" s="249"/>
      <c r="R202" s="248"/>
      <c r="S202" s="248"/>
      <c r="T202" s="248"/>
      <c r="U202" s="248"/>
      <c r="V202" s="248"/>
      <c r="W202" s="247"/>
      <c r="X202" s="235">
        <f>P202*W$200</f>
        <v>0</v>
      </c>
      <c r="Z202" s="172"/>
      <c r="AA202" s="171"/>
      <c r="AB202" s="171"/>
      <c r="AC202" s="171"/>
      <c r="AD202" s="170">
        <v>182.73548325412537</v>
      </c>
      <c r="AE202" s="243">
        <f>SUM(Z202:AD202)</f>
        <v>182.73548325412537</v>
      </c>
      <c r="AF202" s="183">
        <v>1</v>
      </c>
      <c r="AG202" s="235"/>
      <c r="AH202" s="249"/>
      <c r="AI202" s="248"/>
      <c r="AJ202" s="248"/>
      <c r="AK202" s="248"/>
      <c r="AL202" s="248"/>
      <c r="AM202" s="248"/>
      <c r="AN202" s="247"/>
      <c r="AO202" s="235">
        <f>AG202*AN$200</f>
        <v>0</v>
      </c>
      <c r="AQ202" s="172"/>
      <c r="AR202" s="294"/>
      <c r="AS202" s="171"/>
      <c r="AT202" s="171"/>
      <c r="AU202" s="242"/>
      <c r="AV202" s="241">
        <f>SUM(AQ202:AU202)</f>
        <v>0</v>
      </c>
      <c r="AW202" s="183">
        <v>1</v>
      </c>
      <c r="AX202" s="235"/>
      <c r="AY202" s="249"/>
      <c r="AZ202" s="248"/>
      <c r="BA202" s="248"/>
      <c r="BB202" s="248"/>
      <c r="BC202" s="248"/>
      <c r="BD202" s="248"/>
      <c r="BE202" s="247"/>
      <c r="BF202" s="235"/>
      <c r="BH202" s="260"/>
      <c r="BI202" s="166"/>
      <c r="BJ202" s="166"/>
      <c r="BK202" s="166"/>
      <c r="BL202" s="165"/>
      <c r="BM202" s="240">
        <f>SUM(BH202:BL202)</f>
        <v>0</v>
      </c>
      <c r="BN202" s="183">
        <v>1</v>
      </c>
      <c r="BO202" s="235">
        <f>$G202*BM202*BN202</f>
        <v>0</v>
      </c>
      <c r="BP202" s="249"/>
      <c r="BQ202" s="248"/>
      <c r="BR202" s="248"/>
      <c r="BS202" s="248"/>
      <c r="BT202" s="248"/>
      <c r="BU202" s="248"/>
      <c r="BV202" s="247"/>
      <c r="BW202" s="235" t="e">
        <f>BO202*BV$200</f>
        <v>#REF!</v>
      </c>
      <c r="BY202" s="260"/>
      <c r="BZ202" s="166"/>
      <c r="CA202" s="166"/>
      <c r="CB202" s="166"/>
      <c r="CC202" s="165"/>
      <c r="CD202" s="240">
        <f>SUM(BY202:CC202)</f>
        <v>0</v>
      </c>
      <c r="CE202" s="183">
        <v>1</v>
      </c>
      <c r="CF202" s="235">
        <f>$G202*CD202*CE202</f>
        <v>0</v>
      </c>
      <c r="CG202" s="249"/>
      <c r="CH202" s="248"/>
      <c r="CI202" s="248"/>
      <c r="CJ202" s="248"/>
      <c r="CK202" s="248"/>
      <c r="CL202" s="248"/>
      <c r="CM202" s="247"/>
      <c r="CN202" s="235" t="e">
        <f>CF202*CM$200</f>
        <v>#REF!</v>
      </c>
      <c r="CP202" s="198"/>
      <c r="CQ202" s="234">
        <f>SUMIF(I$1:CO$1,1,I202:CO202)</f>
        <v>0</v>
      </c>
      <c r="CR202" s="6"/>
      <c r="CS202" s="233" t="e">
        <f>SUMIF(I$1:CO$1,2,I202:CO202)</f>
        <v>#REF!</v>
      </c>
      <c r="CU202" s="233">
        <f>SUMIF(I$1:CO$1,3,I202:CO202)</f>
        <v>182.73548325412537</v>
      </c>
      <c r="CW202" s="270"/>
      <c r="CX202" s="270"/>
    </row>
    <row r="203" spans="1:102" ht="15" customHeight="1" x14ac:dyDescent="0.25">
      <c r="A203" s="307"/>
      <c r="B203" s="75"/>
      <c r="C203" s="72" t="s">
        <v>247</v>
      </c>
      <c r="D203" s="309" t="s">
        <v>246</v>
      </c>
      <c r="E203" s="72" t="s">
        <v>240</v>
      </c>
      <c r="F203" s="263">
        <f>(0.007*(1.014*1.012*1.015)*1.1/1.13)*1.028*(1.058)</f>
        <v>7.7192583064907058E-3</v>
      </c>
      <c r="G203" s="262">
        <f>F203*$G$1</f>
        <v>0</v>
      </c>
      <c r="I203" s="172"/>
      <c r="J203" s="171"/>
      <c r="K203" s="171"/>
      <c r="L203" s="171">
        <v>849.00693172676267</v>
      </c>
      <c r="M203" s="170"/>
      <c r="N203" s="243">
        <f>SUM(I203:M203)</f>
        <v>849.00693172676267</v>
      </c>
      <c r="O203" s="183">
        <v>1</v>
      </c>
      <c r="P203" s="235"/>
      <c r="Q203" s="249"/>
      <c r="R203" s="248"/>
      <c r="S203" s="248"/>
      <c r="T203" s="248"/>
      <c r="U203" s="248"/>
      <c r="V203" s="248"/>
      <c r="W203" s="247"/>
      <c r="X203" s="235">
        <f>P203*W$200</f>
        <v>0</v>
      </c>
      <c r="Z203" s="172">
        <v>830.71715252850902</v>
      </c>
      <c r="AA203" s="171"/>
      <c r="AB203" s="171">
        <v>969.54876140197871</v>
      </c>
      <c r="AC203" s="171"/>
      <c r="AD203" s="170">
        <v>454.61109742230718</v>
      </c>
      <c r="AE203" s="243">
        <f>SUM(Z203:AD203)</f>
        <v>2254.8770113527949</v>
      </c>
      <c r="AF203" s="183">
        <v>1</v>
      </c>
      <c r="AG203" s="235"/>
      <c r="AH203" s="249"/>
      <c r="AI203" s="248"/>
      <c r="AJ203" s="248"/>
      <c r="AK203" s="248"/>
      <c r="AL203" s="248"/>
      <c r="AM203" s="248"/>
      <c r="AN203" s="247"/>
      <c r="AO203" s="235">
        <f>AG203*AN$200</f>
        <v>0</v>
      </c>
      <c r="AQ203" s="172"/>
      <c r="AR203" s="294"/>
      <c r="AS203" s="171"/>
      <c r="AT203" s="171"/>
      <c r="AU203" s="242"/>
      <c r="AV203" s="241">
        <f>SUM(AQ203:AU203)</f>
        <v>0</v>
      </c>
      <c r="AW203" s="183">
        <v>1</v>
      </c>
      <c r="AX203" s="235"/>
      <c r="AY203" s="249"/>
      <c r="AZ203" s="248"/>
      <c r="BA203" s="248"/>
      <c r="BB203" s="248"/>
      <c r="BC203" s="248"/>
      <c r="BD203" s="248"/>
      <c r="BE203" s="247"/>
      <c r="BF203" s="235"/>
      <c r="BH203" s="259"/>
      <c r="BI203" s="166"/>
      <c r="BJ203" s="166"/>
      <c r="BK203" s="166"/>
      <c r="BL203" s="165"/>
      <c r="BM203" s="240">
        <f>SUM(BH203:BL203)</f>
        <v>0</v>
      </c>
      <c r="BN203" s="183">
        <v>1</v>
      </c>
      <c r="BO203" s="235">
        <f>$G203*BM203*BN203</f>
        <v>0</v>
      </c>
      <c r="BP203" s="249"/>
      <c r="BQ203" s="248"/>
      <c r="BR203" s="248"/>
      <c r="BS203" s="248"/>
      <c r="BT203" s="248"/>
      <c r="BU203" s="248"/>
      <c r="BV203" s="247"/>
      <c r="BW203" s="235" t="e">
        <f>BO203*BV$200</f>
        <v>#REF!</v>
      </c>
      <c r="BY203" s="260"/>
      <c r="BZ203" s="166"/>
      <c r="CA203" s="166"/>
      <c r="CB203" s="166"/>
      <c r="CC203" s="165"/>
      <c r="CD203" s="240">
        <f>SUM(BY203:CC203)</f>
        <v>0</v>
      </c>
      <c r="CE203" s="183">
        <v>1</v>
      </c>
      <c r="CF203" s="235">
        <f>$G203*CD203*CE203</f>
        <v>0</v>
      </c>
      <c r="CG203" s="249"/>
      <c r="CH203" s="248"/>
      <c r="CI203" s="248"/>
      <c r="CJ203" s="248"/>
      <c r="CK203" s="248"/>
      <c r="CL203" s="248"/>
      <c r="CM203" s="247"/>
      <c r="CN203" s="235" t="e">
        <f>CF203*CM$200</f>
        <v>#REF!</v>
      </c>
      <c r="CP203" s="198"/>
      <c r="CQ203" s="234">
        <f>SUMIF(I$1:CO$1,1,I203:CO203)</f>
        <v>0</v>
      </c>
      <c r="CR203" s="6"/>
      <c r="CS203" s="233" t="e">
        <f>SUMIF(I$1:CO$1,2,I203:CO203)</f>
        <v>#REF!</v>
      </c>
      <c r="CU203" s="233">
        <f>SUMIF(I$1:CO$1,3,I203:CO203)</f>
        <v>2254.8770113527949</v>
      </c>
      <c r="CW203" s="270"/>
      <c r="CX203" s="270"/>
    </row>
    <row r="204" spans="1:102" ht="15" customHeight="1" x14ac:dyDescent="0.25">
      <c r="A204" s="307"/>
      <c r="B204" s="75"/>
      <c r="C204" s="72" t="s">
        <v>245</v>
      </c>
      <c r="D204" s="309" t="s">
        <v>244</v>
      </c>
      <c r="E204" s="72" t="s">
        <v>243</v>
      </c>
      <c r="F204" s="263">
        <f>(0.4*(1.014*1.012*1.015)*1.1/1.13)*1.028*(1.058)</f>
        <v>0.44110047465661173</v>
      </c>
      <c r="G204" s="262">
        <f>F204*$G$1</f>
        <v>0</v>
      </c>
      <c r="I204" s="172"/>
      <c r="J204" s="171"/>
      <c r="K204" s="171"/>
      <c r="L204" s="171"/>
      <c r="M204" s="170"/>
      <c r="N204" s="243">
        <f>SUM(I204:M204)</f>
        <v>0</v>
      </c>
      <c r="O204" s="183">
        <v>1</v>
      </c>
      <c r="P204" s="235"/>
      <c r="Q204" s="249"/>
      <c r="R204" s="248"/>
      <c r="S204" s="248"/>
      <c r="T204" s="248"/>
      <c r="U204" s="248"/>
      <c r="V204" s="248"/>
      <c r="W204" s="247"/>
      <c r="X204" s="235">
        <f>P204*W$200</f>
        <v>0</v>
      </c>
      <c r="Z204" s="172"/>
      <c r="AA204" s="171"/>
      <c r="AB204" s="171"/>
      <c r="AC204" s="171"/>
      <c r="AD204" s="170"/>
      <c r="AE204" s="243">
        <f>SUM(Z204:AD204)</f>
        <v>0</v>
      </c>
      <c r="AF204" s="183">
        <v>1</v>
      </c>
      <c r="AG204" s="235"/>
      <c r="AH204" s="249"/>
      <c r="AI204" s="248"/>
      <c r="AJ204" s="248"/>
      <c r="AK204" s="248"/>
      <c r="AL204" s="248"/>
      <c r="AM204" s="248"/>
      <c r="AN204" s="247"/>
      <c r="AO204" s="235">
        <f>AG204*AN$200</f>
        <v>0</v>
      </c>
      <c r="AQ204" s="172"/>
      <c r="AR204" s="294"/>
      <c r="AS204" s="171"/>
      <c r="AT204" s="171"/>
      <c r="AU204" s="242"/>
      <c r="AV204" s="241">
        <f>SUM(AQ204:AU204)</f>
        <v>0</v>
      </c>
      <c r="AW204" s="183">
        <v>1</v>
      </c>
      <c r="AX204" s="235"/>
      <c r="AY204" s="249"/>
      <c r="AZ204" s="248"/>
      <c r="BA204" s="248"/>
      <c r="BB204" s="248"/>
      <c r="BC204" s="248"/>
      <c r="BD204" s="248"/>
      <c r="BE204" s="247"/>
      <c r="BF204" s="235"/>
      <c r="BH204" s="260"/>
      <c r="BI204" s="166"/>
      <c r="BJ204" s="166"/>
      <c r="BK204" s="166"/>
      <c r="BL204" s="165"/>
      <c r="BM204" s="240">
        <f>SUM(BH204:BL204)</f>
        <v>0</v>
      </c>
      <c r="BN204" s="183">
        <v>1</v>
      </c>
      <c r="BO204" s="235">
        <f>$G204*BM204*BN204</f>
        <v>0</v>
      </c>
      <c r="BP204" s="249"/>
      <c r="BQ204" s="248"/>
      <c r="BR204" s="248"/>
      <c r="BS204" s="248"/>
      <c r="BT204" s="248"/>
      <c r="BU204" s="248"/>
      <c r="BV204" s="247"/>
      <c r="BW204" s="235" t="e">
        <f>BO204*BV$200</f>
        <v>#REF!</v>
      </c>
      <c r="BY204" s="260"/>
      <c r="BZ204" s="166"/>
      <c r="CA204" s="166"/>
      <c r="CB204" s="166"/>
      <c r="CC204" s="165"/>
      <c r="CD204" s="240">
        <f>SUM(BY204:CC204)</f>
        <v>0</v>
      </c>
      <c r="CE204" s="183">
        <v>1</v>
      </c>
      <c r="CF204" s="235">
        <f>$G204*CD204*CE204</f>
        <v>0</v>
      </c>
      <c r="CG204" s="249"/>
      <c r="CH204" s="248"/>
      <c r="CI204" s="248"/>
      <c r="CJ204" s="248"/>
      <c r="CK204" s="248"/>
      <c r="CL204" s="248"/>
      <c r="CM204" s="247"/>
      <c r="CN204" s="235" t="e">
        <f>CF204*CM$200</f>
        <v>#REF!</v>
      </c>
      <c r="CP204" s="198"/>
      <c r="CQ204" s="234">
        <f>SUMIF(I$1:CO$1,1,I204:CO204)</f>
        <v>0</v>
      </c>
      <c r="CR204" s="6"/>
      <c r="CS204" s="233" t="e">
        <f>SUMIF(I$1:CO$1,2,I204:CO204)</f>
        <v>#REF!</v>
      </c>
      <c r="CU204" s="233">
        <f>SUMIF(I$1:CO$1,3,I204:CO204)</f>
        <v>0</v>
      </c>
      <c r="CW204" s="270"/>
      <c r="CX204" s="270"/>
    </row>
    <row r="205" spans="1:102" ht="15" customHeight="1" x14ac:dyDescent="0.25">
      <c r="A205" s="307"/>
      <c r="B205" s="75"/>
      <c r="C205" s="72" t="s">
        <v>242</v>
      </c>
      <c r="D205" s="309" t="s">
        <v>241</v>
      </c>
      <c r="E205" s="72" t="s">
        <v>240</v>
      </c>
      <c r="F205" s="263">
        <f>(0.0012*(1.014*1.012*1.015)*1.1/1.13)*1.028*(1.058)</f>
        <v>1.3233014239698352E-3</v>
      </c>
      <c r="G205" s="262">
        <f>F205*$G$1</f>
        <v>0</v>
      </c>
      <c r="I205" s="172"/>
      <c r="J205" s="171"/>
      <c r="K205" s="171">
        <v>5219.7228498995792</v>
      </c>
      <c r="L205" s="171"/>
      <c r="M205" s="170">
        <v>430.02702913510331</v>
      </c>
      <c r="N205" s="243">
        <f>SUM(I205:M205)</f>
        <v>5649.7498790346826</v>
      </c>
      <c r="O205" s="183">
        <v>1</v>
      </c>
      <c r="P205" s="235"/>
      <c r="Q205" s="249"/>
      <c r="R205" s="248"/>
      <c r="S205" s="248"/>
      <c r="T205" s="248"/>
      <c r="U205" s="248"/>
      <c r="V205" s="248"/>
      <c r="W205" s="247"/>
      <c r="X205" s="235">
        <f>P205*W$200</f>
        <v>0</v>
      </c>
      <c r="Z205" s="172">
        <v>2155.8136629535052</v>
      </c>
      <c r="AA205" s="171">
        <v>1548.8887889587293</v>
      </c>
      <c r="AB205" s="171">
        <v>2509.3368675130314</v>
      </c>
      <c r="AC205" s="171">
        <v>506.79338648946197</v>
      </c>
      <c r="AD205" s="170">
        <v>1717.9890301786777</v>
      </c>
      <c r="AE205" s="243">
        <f>SUM(Z205:AD205)</f>
        <v>8438.821736093405</v>
      </c>
      <c r="AF205" s="183">
        <v>1</v>
      </c>
      <c r="AG205" s="235"/>
      <c r="AH205" s="249"/>
      <c r="AI205" s="248"/>
      <c r="AJ205" s="248"/>
      <c r="AK205" s="248"/>
      <c r="AL205" s="248"/>
      <c r="AM205" s="248"/>
      <c r="AN205" s="247"/>
      <c r="AO205" s="235">
        <f>AG205*AN$200</f>
        <v>0</v>
      </c>
      <c r="AQ205" s="172">
        <v>2907.7708300627601</v>
      </c>
      <c r="AR205" s="294"/>
      <c r="AS205" s="171"/>
      <c r="AT205" s="171"/>
      <c r="AU205" s="242"/>
      <c r="AV205" s="241">
        <f>SUM(AQ205:AU205)</f>
        <v>2907.7708300627601</v>
      </c>
      <c r="AW205" s="183">
        <v>1</v>
      </c>
      <c r="AX205" s="235"/>
      <c r="AY205" s="249"/>
      <c r="AZ205" s="248"/>
      <c r="BA205" s="248"/>
      <c r="BB205" s="248"/>
      <c r="BC205" s="248"/>
      <c r="BD205" s="248"/>
      <c r="BE205" s="247"/>
      <c r="BF205" s="235"/>
      <c r="BH205" s="260"/>
      <c r="BI205" s="166"/>
      <c r="BJ205" s="166"/>
      <c r="BK205" s="166"/>
      <c r="BL205" s="165"/>
      <c r="BM205" s="240">
        <f>SUM(BH205:BL205)</f>
        <v>0</v>
      </c>
      <c r="BN205" s="183">
        <v>1</v>
      </c>
      <c r="BO205" s="235">
        <f>$G205*BM205*BN205</f>
        <v>0</v>
      </c>
      <c r="BP205" s="249"/>
      <c r="BQ205" s="248"/>
      <c r="BR205" s="248"/>
      <c r="BS205" s="248"/>
      <c r="BT205" s="248"/>
      <c r="BU205" s="248"/>
      <c r="BV205" s="247"/>
      <c r="BW205" s="235" t="e">
        <f>BO205*BV$200</f>
        <v>#REF!</v>
      </c>
      <c r="BY205" s="260"/>
      <c r="BZ205" s="166"/>
      <c r="CA205" s="166"/>
      <c r="CB205" s="166"/>
      <c r="CC205" s="165"/>
      <c r="CD205" s="240">
        <f>SUM(BY205:CC205)</f>
        <v>0</v>
      </c>
      <c r="CE205" s="183">
        <v>1</v>
      </c>
      <c r="CF205" s="235">
        <f>$G205*CD205*CE205</f>
        <v>0</v>
      </c>
      <c r="CG205" s="249"/>
      <c r="CH205" s="248"/>
      <c r="CI205" s="248"/>
      <c r="CJ205" s="248"/>
      <c r="CK205" s="248"/>
      <c r="CL205" s="248"/>
      <c r="CM205" s="247"/>
      <c r="CN205" s="235" t="e">
        <f>CF205*CM$200</f>
        <v>#REF!</v>
      </c>
      <c r="CP205" s="198"/>
      <c r="CQ205" s="234">
        <f>SUMIF(I$1:CO$1,1,I205:CO205)</f>
        <v>0</v>
      </c>
      <c r="CR205" s="6"/>
      <c r="CS205" s="233" t="e">
        <f>SUMIF(I$1:CO$1,2,I205:CO205)</f>
        <v>#REF!</v>
      </c>
      <c r="CU205" s="233">
        <f>SUMIF(I$1:CO$1,3,I205:CO205)</f>
        <v>11346.592566156165</v>
      </c>
      <c r="CW205" s="270"/>
      <c r="CX205" s="270"/>
    </row>
    <row r="206" spans="1:102" ht="15" customHeight="1" x14ac:dyDescent="0.25">
      <c r="A206" s="307"/>
      <c r="B206" s="73"/>
      <c r="C206" s="72" t="s">
        <v>239</v>
      </c>
      <c r="D206" s="309" t="s">
        <v>238</v>
      </c>
      <c r="E206" s="72" t="s">
        <v>237</v>
      </c>
      <c r="F206" s="263">
        <f>(0.00125*(1.014*1.012*1.015)*1.1/1.13)*1.028*(1.058)</f>
        <v>1.3784389833019113E-3</v>
      </c>
      <c r="G206" s="262">
        <f>F206*$G$1</f>
        <v>0</v>
      </c>
      <c r="I206" s="172"/>
      <c r="J206" s="171"/>
      <c r="K206" s="171">
        <v>833.41670825946323</v>
      </c>
      <c r="L206" s="171"/>
      <c r="M206" s="170">
        <v>260.77392206287408</v>
      </c>
      <c r="N206" s="243">
        <f>SUM(I206:M206)</f>
        <v>1094.1906303223373</v>
      </c>
      <c r="O206" s="183">
        <v>1</v>
      </c>
      <c r="P206" s="235"/>
      <c r="Q206" s="249"/>
      <c r="R206" s="248"/>
      <c r="S206" s="248"/>
      <c r="T206" s="248"/>
      <c r="U206" s="248"/>
      <c r="V206" s="248"/>
      <c r="W206" s="247"/>
      <c r="X206" s="235">
        <f>P206*W$200</f>
        <v>0</v>
      </c>
      <c r="Z206" s="172">
        <v>16.206767416347073</v>
      </c>
      <c r="AA206" s="171">
        <v>35.266609976128784</v>
      </c>
      <c r="AB206" s="171">
        <v>122.04350866298277</v>
      </c>
      <c r="AC206" s="171"/>
      <c r="AD206" s="170">
        <v>229.43275243306991</v>
      </c>
      <c r="AE206" s="243">
        <f>SUM(Z206:AD206)</f>
        <v>402.94963848852854</v>
      </c>
      <c r="AF206" s="183">
        <v>1</v>
      </c>
      <c r="AG206" s="235"/>
      <c r="AH206" s="249"/>
      <c r="AI206" s="248"/>
      <c r="AJ206" s="248"/>
      <c r="AK206" s="248"/>
      <c r="AL206" s="248"/>
      <c r="AM206" s="248"/>
      <c r="AN206" s="247"/>
      <c r="AO206" s="235">
        <f>AG206*AN$200</f>
        <v>0</v>
      </c>
      <c r="AQ206" s="172">
        <v>49.419140654903984</v>
      </c>
      <c r="AR206" s="294"/>
      <c r="AS206" s="171"/>
      <c r="AT206" s="171"/>
      <c r="AU206" s="242"/>
      <c r="AV206" s="241">
        <f>SUM(AQ206:AU206)</f>
        <v>49.419140654903984</v>
      </c>
      <c r="AW206" s="183">
        <v>1</v>
      </c>
      <c r="AX206" s="235"/>
      <c r="AY206" s="249"/>
      <c r="AZ206" s="248"/>
      <c r="BA206" s="248"/>
      <c r="BB206" s="248"/>
      <c r="BC206" s="248"/>
      <c r="BD206" s="248"/>
      <c r="BE206" s="247"/>
      <c r="BF206" s="235"/>
      <c r="BH206" s="260"/>
      <c r="BI206" s="166"/>
      <c r="BJ206" s="166"/>
      <c r="BK206" s="166"/>
      <c r="BL206" s="165"/>
      <c r="BM206" s="240">
        <f>SUM(BH206:BL206)</f>
        <v>0</v>
      </c>
      <c r="BN206" s="183">
        <v>1</v>
      </c>
      <c r="BO206" s="235">
        <f>$G206*BM206*BN206</f>
        <v>0</v>
      </c>
      <c r="BP206" s="249"/>
      <c r="BQ206" s="248"/>
      <c r="BR206" s="248"/>
      <c r="BS206" s="248"/>
      <c r="BT206" s="248"/>
      <c r="BU206" s="248"/>
      <c r="BV206" s="247"/>
      <c r="BW206" s="235" t="e">
        <f>BO206*BV$200</f>
        <v>#REF!</v>
      </c>
      <c r="BY206" s="260"/>
      <c r="BZ206" s="166"/>
      <c r="CA206" s="166"/>
      <c r="CB206" s="166"/>
      <c r="CC206" s="165"/>
      <c r="CD206" s="240">
        <f>SUM(BY206:CC206)</f>
        <v>0</v>
      </c>
      <c r="CE206" s="183">
        <v>1</v>
      </c>
      <c r="CF206" s="235">
        <f>$G206*CD206*CE206</f>
        <v>0</v>
      </c>
      <c r="CG206" s="249"/>
      <c r="CH206" s="248"/>
      <c r="CI206" s="248"/>
      <c r="CJ206" s="248"/>
      <c r="CK206" s="248"/>
      <c r="CL206" s="248"/>
      <c r="CM206" s="247"/>
      <c r="CN206" s="235" t="e">
        <f>CF206*CM$200</f>
        <v>#REF!</v>
      </c>
      <c r="CP206" s="198"/>
      <c r="CQ206" s="234">
        <f>SUMIF(I$1:CO$1,1,I206:CO206)</f>
        <v>0</v>
      </c>
      <c r="CR206" s="6"/>
      <c r="CS206" s="233" t="e">
        <f>SUMIF(I$1:CO$1,2,I206:CO206)</f>
        <v>#REF!</v>
      </c>
      <c r="CU206" s="233">
        <f>SUMIF(I$1:CO$1,3,I206:CO206)</f>
        <v>452.3687791434325</v>
      </c>
      <c r="CW206" s="270"/>
      <c r="CX206" s="270"/>
    </row>
    <row r="207" spans="1:102" ht="15" customHeight="1" x14ac:dyDescent="0.25">
      <c r="A207" s="307"/>
      <c r="B207" s="75" t="s">
        <v>235</v>
      </c>
      <c r="C207" s="72" t="s">
        <v>236</v>
      </c>
      <c r="D207" s="309" t="s">
        <v>235</v>
      </c>
      <c r="E207" s="72" t="s">
        <v>232</v>
      </c>
      <c r="F207" s="263">
        <f>(0.012*(1.014*1.012*1.015)*1.1/1.13)*1.028*(1.058)</f>
        <v>1.3233014239698351E-2</v>
      </c>
      <c r="G207" s="262">
        <f>F207*$G$1</f>
        <v>0</v>
      </c>
      <c r="I207" s="172"/>
      <c r="J207" s="171"/>
      <c r="K207" s="171">
        <v>369.81923024905291</v>
      </c>
      <c r="L207" s="171"/>
      <c r="M207" s="170"/>
      <c r="N207" s="243">
        <f>SUM(I207:M207)</f>
        <v>369.81923024905291</v>
      </c>
      <c r="O207" s="183">
        <v>1</v>
      </c>
      <c r="P207" s="235"/>
      <c r="Q207" s="249"/>
      <c r="R207" s="248"/>
      <c r="S207" s="248"/>
      <c r="T207" s="248"/>
      <c r="U207" s="248"/>
      <c r="V207" s="248"/>
      <c r="W207" s="247"/>
      <c r="X207" s="235">
        <f>P207*W$200</f>
        <v>0</v>
      </c>
      <c r="Z207" s="172"/>
      <c r="AA207" s="171"/>
      <c r="AB207" s="171">
        <v>182.78835541063683</v>
      </c>
      <c r="AC207" s="171"/>
      <c r="AD207" s="170">
        <v>326.0822720990559</v>
      </c>
      <c r="AE207" s="243">
        <f>SUM(Z207:AD207)</f>
        <v>508.87062750969272</v>
      </c>
      <c r="AF207" s="183">
        <v>1</v>
      </c>
      <c r="AG207" s="235"/>
      <c r="AH207" s="249"/>
      <c r="AI207" s="248"/>
      <c r="AJ207" s="248"/>
      <c r="AK207" s="248"/>
      <c r="AL207" s="248"/>
      <c r="AM207" s="248"/>
      <c r="AN207" s="247"/>
      <c r="AO207" s="235">
        <f>AG207*AN$200</f>
        <v>0</v>
      </c>
      <c r="AQ207" s="172"/>
      <c r="AR207" s="294"/>
      <c r="AS207" s="171"/>
      <c r="AT207" s="171"/>
      <c r="AU207" s="242"/>
      <c r="AV207" s="241">
        <f>SUM(AQ207:AU207)</f>
        <v>0</v>
      </c>
      <c r="AW207" s="183">
        <v>1</v>
      </c>
      <c r="AX207" s="235"/>
      <c r="AY207" s="249"/>
      <c r="AZ207" s="248"/>
      <c r="BA207" s="248"/>
      <c r="BB207" s="248"/>
      <c r="BC207" s="248"/>
      <c r="BD207" s="248"/>
      <c r="BE207" s="247"/>
      <c r="BF207" s="235"/>
      <c r="BH207" s="260"/>
      <c r="BI207" s="166"/>
      <c r="BJ207" s="166"/>
      <c r="BK207" s="166"/>
      <c r="BL207" s="165"/>
      <c r="BM207" s="240">
        <f>SUM(BH207:BL207)</f>
        <v>0</v>
      </c>
      <c r="BN207" s="183">
        <v>1</v>
      </c>
      <c r="BO207" s="235">
        <f>$G207*BM207*BN207</f>
        <v>0</v>
      </c>
      <c r="BP207" s="249"/>
      <c r="BQ207" s="248"/>
      <c r="BR207" s="248"/>
      <c r="BS207" s="248"/>
      <c r="BT207" s="248"/>
      <c r="BU207" s="248"/>
      <c r="BV207" s="247"/>
      <c r="BW207" s="235" t="e">
        <f>BO207*BV$200</f>
        <v>#REF!</v>
      </c>
      <c r="BY207" s="260"/>
      <c r="BZ207" s="166"/>
      <c r="CA207" s="166"/>
      <c r="CB207" s="166"/>
      <c r="CC207" s="165"/>
      <c r="CD207" s="240">
        <f>SUM(BY207:CC207)</f>
        <v>0</v>
      </c>
      <c r="CE207" s="183">
        <v>1</v>
      </c>
      <c r="CF207" s="235">
        <f>$G207*CD207*CE207</f>
        <v>0</v>
      </c>
      <c r="CG207" s="249"/>
      <c r="CH207" s="248"/>
      <c r="CI207" s="248"/>
      <c r="CJ207" s="248"/>
      <c r="CK207" s="248"/>
      <c r="CL207" s="248"/>
      <c r="CM207" s="247"/>
      <c r="CN207" s="235" t="e">
        <f>CF207*CM$200</f>
        <v>#REF!</v>
      </c>
      <c r="CP207" s="198"/>
      <c r="CQ207" s="234">
        <f>SUMIF(I$1:CO$1,1,I207:CO207)</f>
        <v>0</v>
      </c>
      <c r="CR207" s="6"/>
      <c r="CS207" s="233" t="e">
        <f>SUMIF(I$1:CO$1,2,I207:CO207)</f>
        <v>#REF!</v>
      </c>
      <c r="CU207" s="233">
        <f>SUMIF(I$1:CO$1,3,I207:CO207)</f>
        <v>508.87062750969272</v>
      </c>
      <c r="CW207" s="270"/>
      <c r="CX207" s="270"/>
    </row>
    <row r="208" spans="1:102" ht="15" customHeight="1" x14ac:dyDescent="0.25">
      <c r="A208" s="307"/>
      <c r="B208" s="73"/>
      <c r="C208" s="72" t="s">
        <v>234</v>
      </c>
      <c r="D208" s="309" t="s">
        <v>233</v>
      </c>
      <c r="E208" s="72" t="s">
        <v>232</v>
      </c>
      <c r="F208" s="263">
        <f>(0.018*(1.014*1.012*1.015)*1.1/1.13)*1.028*(1.058)</f>
        <v>1.9849521359547529E-2</v>
      </c>
      <c r="G208" s="262">
        <f>F208*$G$1</f>
        <v>0</v>
      </c>
      <c r="I208" s="172"/>
      <c r="J208" s="171"/>
      <c r="K208" s="171">
        <v>11.449826214105785</v>
      </c>
      <c r="L208" s="171"/>
      <c r="M208" s="170">
        <v>11.449826214105785</v>
      </c>
      <c r="N208" s="243">
        <f>SUM(I208:M208)</f>
        <v>22.899652428211571</v>
      </c>
      <c r="O208" s="183">
        <v>1</v>
      </c>
      <c r="P208" s="235"/>
      <c r="Q208" s="249"/>
      <c r="R208" s="248"/>
      <c r="S208" s="248"/>
      <c r="T208" s="248"/>
      <c r="U208" s="248"/>
      <c r="V208" s="248"/>
      <c r="W208" s="247"/>
      <c r="X208" s="235">
        <f>P208*W$200</f>
        <v>0</v>
      </c>
      <c r="Z208" s="172"/>
      <c r="AA208" s="171">
        <v>11.449826214105785</v>
      </c>
      <c r="AB208" s="171">
        <v>6.7504882144450056</v>
      </c>
      <c r="AC208" s="171">
        <v>22.899652428211571</v>
      </c>
      <c r="AD208" s="170">
        <v>5.7249133589481342</v>
      </c>
      <c r="AE208" s="243">
        <f>SUM(Z208:AD208)</f>
        <v>46.8248802157105</v>
      </c>
      <c r="AF208" s="183">
        <v>1</v>
      </c>
      <c r="AG208" s="235"/>
      <c r="AH208" s="249"/>
      <c r="AI208" s="248"/>
      <c r="AJ208" s="248"/>
      <c r="AK208" s="248"/>
      <c r="AL208" s="248"/>
      <c r="AM208" s="248"/>
      <c r="AN208" s="247"/>
      <c r="AO208" s="235">
        <f>AG208*AN$200</f>
        <v>0</v>
      </c>
      <c r="AQ208" s="172">
        <v>11.449826214105785</v>
      </c>
      <c r="AR208" s="294"/>
      <c r="AS208" s="171"/>
      <c r="AT208" s="171"/>
      <c r="AU208" s="242"/>
      <c r="AV208" s="241">
        <f>SUM(AQ208:AU208)</f>
        <v>11.449826214105785</v>
      </c>
      <c r="AW208" s="183">
        <v>1</v>
      </c>
      <c r="AX208" s="235"/>
      <c r="AY208" s="249"/>
      <c r="AZ208" s="248"/>
      <c r="BA208" s="248"/>
      <c r="BB208" s="248"/>
      <c r="BC208" s="248"/>
      <c r="BD208" s="248"/>
      <c r="BE208" s="247"/>
      <c r="BF208" s="235"/>
      <c r="BH208" s="260"/>
      <c r="BI208" s="166"/>
      <c r="BJ208" s="166"/>
      <c r="BK208" s="166"/>
      <c r="BL208" s="165"/>
      <c r="BM208" s="240">
        <f>SUM(BH208:BL208)</f>
        <v>0</v>
      </c>
      <c r="BN208" s="183">
        <v>1</v>
      </c>
      <c r="BO208" s="235">
        <f>$G208*BM208*BN208</f>
        <v>0</v>
      </c>
      <c r="BP208" s="249"/>
      <c r="BQ208" s="248"/>
      <c r="BR208" s="248"/>
      <c r="BS208" s="248"/>
      <c r="BT208" s="248"/>
      <c r="BU208" s="248"/>
      <c r="BV208" s="247"/>
      <c r="BW208" s="235" t="e">
        <f>BO208*BV$200</f>
        <v>#REF!</v>
      </c>
      <c r="BY208" s="260"/>
      <c r="BZ208" s="166"/>
      <c r="CA208" s="166"/>
      <c r="CB208" s="166"/>
      <c r="CC208" s="165"/>
      <c r="CD208" s="240">
        <f>SUM(BY208:CC208)</f>
        <v>0</v>
      </c>
      <c r="CE208" s="183">
        <v>1</v>
      </c>
      <c r="CF208" s="235">
        <f>$G208*CD208*CE208</f>
        <v>0</v>
      </c>
      <c r="CG208" s="249"/>
      <c r="CH208" s="248"/>
      <c r="CI208" s="248"/>
      <c r="CJ208" s="248"/>
      <c r="CK208" s="248"/>
      <c r="CL208" s="248"/>
      <c r="CM208" s="247"/>
      <c r="CN208" s="235" t="e">
        <f>CF208*CM$200</f>
        <v>#REF!</v>
      </c>
      <c r="CP208" s="198"/>
      <c r="CQ208" s="234">
        <f>SUMIF(I$1:CO$1,1,I208:CO208)</f>
        <v>0</v>
      </c>
      <c r="CR208" s="6"/>
      <c r="CS208" s="233" t="e">
        <f>SUMIF(I$1:CO$1,2,I208:CO208)</f>
        <v>#REF!</v>
      </c>
      <c r="CU208" s="233">
        <f>SUMIF(I$1:CO$1,3,I208:CO208)</f>
        <v>58.274706429816284</v>
      </c>
      <c r="CW208" s="270"/>
      <c r="CX208" s="270"/>
    </row>
    <row r="209" spans="1:117" ht="15" customHeight="1" x14ac:dyDescent="0.25">
      <c r="A209" s="307"/>
      <c r="B209" s="257" t="s">
        <v>178</v>
      </c>
      <c r="C209" s="72" t="s">
        <v>20</v>
      </c>
      <c r="D209" s="255" t="s">
        <v>231</v>
      </c>
      <c r="E209" s="254" t="s">
        <v>106</v>
      </c>
      <c r="F209" s="308"/>
      <c r="G209" s="308">
        <f>F209</f>
        <v>0</v>
      </c>
      <c r="I209" s="172"/>
      <c r="J209" s="250"/>
      <c r="K209" s="171">
        <v>4.3866820000000001E-2</v>
      </c>
      <c r="L209" s="171"/>
      <c r="M209" s="170">
        <v>4.3866820000000001E-2</v>
      </c>
      <c r="N209" s="243"/>
      <c r="O209" s="183">
        <v>1</v>
      </c>
      <c r="P209" s="235"/>
      <c r="Q209" s="249"/>
      <c r="R209" s="248"/>
      <c r="S209" s="248"/>
      <c r="T209" s="248"/>
      <c r="U209" s="248"/>
      <c r="V209" s="248"/>
      <c r="W209" s="247"/>
      <c r="X209" s="235">
        <f>P209*W$200</f>
        <v>0</v>
      </c>
      <c r="Z209" s="172"/>
      <c r="AA209" s="171">
        <v>4.3866820000000001E-2</v>
      </c>
      <c r="AB209" s="171">
        <v>4.3866820000000001E-2</v>
      </c>
      <c r="AC209" s="171">
        <f>0.04386682+0.04386682</f>
        <v>8.7733640000000002E-2</v>
      </c>
      <c r="AD209" s="170">
        <v>4.3866820000000001E-2</v>
      </c>
      <c r="AE209" s="243"/>
      <c r="AF209" s="183">
        <v>1</v>
      </c>
      <c r="AG209" s="235"/>
      <c r="AH209" s="249"/>
      <c r="AI209" s="248"/>
      <c r="AJ209" s="248"/>
      <c r="AK209" s="248"/>
      <c r="AL209" s="248"/>
      <c r="AM209" s="248"/>
      <c r="AN209" s="247"/>
      <c r="AO209" s="235">
        <f>AG209*AN$200</f>
        <v>0</v>
      </c>
      <c r="AQ209" s="172">
        <v>4.3866820000000001E-2</v>
      </c>
      <c r="AR209" s="294"/>
      <c r="AS209" s="171"/>
      <c r="AT209" s="171"/>
      <c r="AU209" s="242"/>
      <c r="AV209" s="241">
        <f>SUM(AQ209:AU209)</f>
        <v>4.3866820000000001E-2</v>
      </c>
      <c r="AW209" s="183">
        <v>1</v>
      </c>
      <c r="AX209" s="235"/>
      <c r="AY209" s="249"/>
      <c r="AZ209" s="248"/>
      <c r="BA209" s="248"/>
      <c r="BB209" s="248"/>
      <c r="BC209" s="248"/>
      <c r="BD209" s="248"/>
      <c r="BE209" s="247"/>
      <c r="BF209" s="235"/>
      <c r="BH209" s="260"/>
      <c r="BI209" s="166"/>
      <c r="BJ209" s="166"/>
      <c r="BK209" s="166"/>
      <c r="BL209" s="165"/>
      <c r="BM209" s="240">
        <f>SUM(BH209:BL209)</f>
        <v>0</v>
      </c>
      <c r="BN209" s="183">
        <v>1</v>
      </c>
      <c r="BO209" s="235">
        <f>$G209*BM209*BN209</f>
        <v>0</v>
      </c>
      <c r="BP209" s="249"/>
      <c r="BQ209" s="248"/>
      <c r="BR209" s="248"/>
      <c r="BS209" s="248"/>
      <c r="BT209" s="248"/>
      <c r="BU209" s="248"/>
      <c r="BV209" s="247"/>
      <c r="BW209" s="235" t="e">
        <f>BO209*BV$200</f>
        <v>#REF!</v>
      </c>
      <c r="BY209" s="260"/>
      <c r="BZ209" s="166"/>
      <c r="CA209" s="166"/>
      <c r="CB209" s="166"/>
      <c r="CC209" s="165"/>
      <c r="CD209" s="240">
        <f>SUM(BY209:CC209)</f>
        <v>0</v>
      </c>
      <c r="CE209" s="183">
        <v>1</v>
      </c>
      <c r="CF209" s="235">
        <f>$G209*CD209*CE209</f>
        <v>0</v>
      </c>
      <c r="CG209" s="249"/>
      <c r="CH209" s="248"/>
      <c r="CI209" s="248"/>
      <c r="CJ209" s="248"/>
      <c r="CK209" s="248"/>
      <c r="CL209" s="248"/>
      <c r="CM209" s="247"/>
      <c r="CN209" s="235" t="e">
        <f>CF209*CM$200</f>
        <v>#REF!</v>
      </c>
      <c r="CP209" s="198"/>
      <c r="CQ209" s="234">
        <f>SUMIF(I$1:CO$1,1,I209:CO209)</f>
        <v>0</v>
      </c>
      <c r="CR209" s="6"/>
      <c r="CS209" s="233" t="e">
        <f>SUMIF(I$1:CO$1,2,I209:CO209)</f>
        <v>#REF!</v>
      </c>
      <c r="CU209" s="246"/>
      <c r="CW209" s="270"/>
      <c r="CX209" s="270"/>
    </row>
    <row r="210" spans="1:117" ht="15" customHeight="1" x14ac:dyDescent="0.25">
      <c r="A210" s="307"/>
      <c r="B210" s="244"/>
      <c r="C210" s="72" t="s">
        <v>19</v>
      </c>
      <c r="D210" s="255" t="s">
        <v>230</v>
      </c>
      <c r="E210" s="254" t="s">
        <v>106</v>
      </c>
      <c r="F210" s="308"/>
      <c r="G210" s="308">
        <f>F210</f>
        <v>0</v>
      </c>
      <c r="I210" s="172"/>
      <c r="J210" s="250"/>
      <c r="K210" s="171">
        <v>0.19825282999999999</v>
      </c>
      <c r="L210" s="171"/>
      <c r="M210" s="170">
        <v>0.19825282999999999</v>
      </c>
      <c r="N210" s="243"/>
      <c r="O210" s="183">
        <v>1</v>
      </c>
      <c r="P210" s="235"/>
      <c r="Q210" s="249"/>
      <c r="R210" s="248"/>
      <c r="S210" s="248"/>
      <c r="T210" s="248"/>
      <c r="U210" s="248"/>
      <c r="V210" s="248"/>
      <c r="W210" s="247"/>
      <c r="X210" s="235">
        <f>P210*W$200</f>
        <v>0</v>
      </c>
      <c r="Z210" s="172"/>
      <c r="AA210" s="171">
        <v>0.19825282999999999</v>
      </c>
      <c r="AB210" s="171">
        <v>0.12003</v>
      </c>
      <c r="AC210" s="171">
        <f>0.15644445+0.1200306</f>
        <v>0.27647505</v>
      </c>
      <c r="AD210" s="170">
        <v>0.12003</v>
      </c>
      <c r="AE210" s="243"/>
      <c r="AF210" s="183">
        <v>1</v>
      </c>
      <c r="AG210" s="235"/>
      <c r="AH210" s="249"/>
      <c r="AI210" s="248"/>
      <c r="AJ210" s="248"/>
      <c r="AK210" s="248"/>
      <c r="AL210" s="248"/>
      <c r="AM210" s="248"/>
      <c r="AN210" s="247"/>
      <c r="AO210" s="235">
        <f>AG210*AN$200</f>
        <v>0</v>
      </c>
      <c r="AQ210" s="172">
        <f>0.15644445</f>
        <v>0.15644445000000001</v>
      </c>
      <c r="AR210" s="294"/>
      <c r="AS210" s="171"/>
      <c r="AT210" s="171"/>
      <c r="AU210" s="242"/>
      <c r="AV210" s="241">
        <f>SUM(AQ210:AU210)</f>
        <v>0.15644445000000001</v>
      </c>
      <c r="AW210" s="183">
        <v>1</v>
      </c>
      <c r="AX210" s="235"/>
      <c r="AY210" s="249"/>
      <c r="AZ210" s="248"/>
      <c r="BA210" s="248"/>
      <c r="BB210" s="248"/>
      <c r="BC210" s="248"/>
      <c r="BD210" s="248"/>
      <c r="BE210" s="247"/>
      <c r="BF210" s="235"/>
      <c r="BH210" s="260"/>
      <c r="BI210" s="166"/>
      <c r="BJ210" s="166"/>
      <c r="BK210" s="166"/>
      <c r="BL210" s="165"/>
      <c r="BM210" s="240">
        <f>SUM(BH210:BL210)</f>
        <v>0</v>
      </c>
      <c r="BN210" s="183">
        <v>1</v>
      </c>
      <c r="BO210" s="235">
        <f>$G210*BM210*BN210</f>
        <v>0</v>
      </c>
      <c r="BP210" s="249"/>
      <c r="BQ210" s="248"/>
      <c r="BR210" s="248"/>
      <c r="BS210" s="248"/>
      <c r="BT210" s="248"/>
      <c r="BU210" s="248"/>
      <c r="BV210" s="247"/>
      <c r="BW210" s="235" t="e">
        <f>BO210*BV$200</f>
        <v>#REF!</v>
      </c>
      <c r="BY210" s="260"/>
      <c r="BZ210" s="166"/>
      <c r="CA210" s="166"/>
      <c r="CB210" s="166"/>
      <c r="CC210" s="165"/>
      <c r="CD210" s="240">
        <f>SUM(BY210:CC210)</f>
        <v>0</v>
      </c>
      <c r="CE210" s="183">
        <v>1</v>
      </c>
      <c r="CF210" s="235">
        <f>$G210*CD210*CE210</f>
        <v>0</v>
      </c>
      <c r="CG210" s="249"/>
      <c r="CH210" s="248"/>
      <c r="CI210" s="248"/>
      <c r="CJ210" s="248"/>
      <c r="CK210" s="248"/>
      <c r="CL210" s="248"/>
      <c r="CM210" s="247"/>
      <c r="CN210" s="235" t="e">
        <f>CF210*CM$200</f>
        <v>#REF!</v>
      </c>
      <c r="CP210" s="198"/>
      <c r="CQ210" s="234">
        <f>SUMIF(I$1:CO$1,1,I210:CO210)</f>
        <v>0</v>
      </c>
      <c r="CR210" s="6"/>
      <c r="CS210" s="233" t="e">
        <f>SUMIF(I$1:CO$1,2,I210:CO210)</f>
        <v>#REF!</v>
      </c>
      <c r="CU210" s="246"/>
      <c r="CW210" s="270"/>
      <c r="CX210" s="270"/>
    </row>
    <row r="211" spans="1:117" ht="15" customHeight="1" x14ac:dyDescent="0.25">
      <c r="A211" s="307"/>
      <c r="B211" s="244"/>
      <c r="C211" s="72" t="s">
        <v>18</v>
      </c>
      <c r="D211" s="255" t="s">
        <v>175</v>
      </c>
      <c r="E211" s="254"/>
      <c r="F211" s="308"/>
      <c r="G211" s="308">
        <f>F211</f>
        <v>0</v>
      </c>
      <c r="I211" s="172"/>
      <c r="J211" s="171"/>
      <c r="K211" s="171"/>
      <c r="L211" s="171"/>
      <c r="M211" s="170"/>
      <c r="N211" s="243">
        <f>SUM(I211:M211)</f>
        <v>0</v>
      </c>
      <c r="O211" s="183">
        <v>1</v>
      </c>
      <c r="P211" s="235"/>
      <c r="Q211" s="249"/>
      <c r="R211" s="248"/>
      <c r="S211" s="248"/>
      <c r="T211" s="248"/>
      <c r="U211" s="248"/>
      <c r="V211" s="248"/>
      <c r="W211" s="247"/>
      <c r="X211" s="235">
        <f>P211*W$200</f>
        <v>0</v>
      </c>
      <c r="Z211" s="172"/>
      <c r="AA211" s="171"/>
      <c r="AB211" s="171"/>
      <c r="AC211" s="171"/>
      <c r="AD211" s="170"/>
      <c r="AE211" s="243">
        <f>SUM(Z211:AD211)</f>
        <v>0</v>
      </c>
      <c r="AF211" s="183">
        <v>1</v>
      </c>
      <c r="AG211" s="235"/>
      <c r="AH211" s="249"/>
      <c r="AI211" s="248"/>
      <c r="AJ211" s="248"/>
      <c r="AK211" s="248"/>
      <c r="AL211" s="248"/>
      <c r="AM211" s="248"/>
      <c r="AN211" s="247"/>
      <c r="AO211" s="235">
        <f>AG211*AN$200</f>
        <v>0</v>
      </c>
      <c r="AQ211" s="172"/>
      <c r="AR211" s="294"/>
      <c r="AS211" s="171"/>
      <c r="AT211" s="171"/>
      <c r="AU211" s="242"/>
      <c r="AV211" s="241">
        <f>SUM(AQ211:AU211)</f>
        <v>0</v>
      </c>
      <c r="AW211" s="183">
        <v>1</v>
      </c>
      <c r="AX211" s="235"/>
      <c r="AY211" s="249"/>
      <c r="AZ211" s="248"/>
      <c r="BA211" s="248"/>
      <c r="BB211" s="248"/>
      <c r="BC211" s="248"/>
      <c r="BD211" s="248"/>
      <c r="BE211" s="247"/>
      <c r="BF211" s="235"/>
      <c r="BH211" s="260"/>
      <c r="BI211" s="166"/>
      <c r="BJ211" s="166"/>
      <c r="BK211" s="166"/>
      <c r="BL211" s="165"/>
      <c r="BM211" s="240">
        <f>SUM(BH211:BL211)</f>
        <v>0</v>
      </c>
      <c r="BN211" s="183">
        <v>1</v>
      </c>
      <c r="BO211" s="235">
        <f>$G211*BM211*BN211</f>
        <v>0</v>
      </c>
      <c r="BP211" s="249"/>
      <c r="BQ211" s="248"/>
      <c r="BR211" s="248"/>
      <c r="BS211" s="248"/>
      <c r="BT211" s="248"/>
      <c r="BU211" s="248"/>
      <c r="BV211" s="247"/>
      <c r="BW211" s="235" t="e">
        <f>BO211*BV$200</f>
        <v>#REF!</v>
      </c>
      <c r="BY211" s="260"/>
      <c r="BZ211" s="166"/>
      <c r="CA211" s="166"/>
      <c r="CB211" s="166"/>
      <c r="CC211" s="165"/>
      <c r="CD211" s="240">
        <f>SUM(BY211:CC211)</f>
        <v>0</v>
      </c>
      <c r="CE211" s="183">
        <v>1</v>
      </c>
      <c r="CF211" s="235">
        <f>$G211*CD211*CE211</f>
        <v>0</v>
      </c>
      <c r="CG211" s="249"/>
      <c r="CH211" s="248"/>
      <c r="CI211" s="248"/>
      <c r="CJ211" s="248"/>
      <c r="CK211" s="248"/>
      <c r="CL211" s="248"/>
      <c r="CM211" s="247"/>
      <c r="CN211" s="235" t="e">
        <f>CF211*CM$200</f>
        <v>#REF!</v>
      </c>
      <c r="CP211" s="198"/>
      <c r="CQ211" s="234">
        <f>SUMIF(I$1:CO$1,1,I211:CO211)</f>
        <v>0</v>
      </c>
      <c r="CR211" s="6"/>
      <c r="CS211" s="233" t="e">
        <f>SUMIF(I$1:CO$1,2,I211:CO211)</f>
        <v>#REF!</v>
      </c>
      <c r="CU211" s="233">
        <f>SUMIF(I$1:CO$1,3,I211:CO211)</f>
        <v>0</v>
      </c>
      <c r="CW211" s="270"/>
      <c r="CX211" s="270"/>
    </row>
    <row r="212" spans="1:117" ht="15" customHeight="1" x14ac:dyDescent="0.25">
      <c r="A212" s="307"/>
      <c r="B212" s="244"/>
      <c r="C212" s="72" t="s">
        <v>17</v>
      </c>
      <c r="D212" s="252" t="s">
        <v>229</v>
      </c>
      <c r="E212" s="174" t="s">
        <v>106</v>
      </c>
      <c r="F212" s="292"/>
      <c r="G212" s="292">
        <f>F212</f>
        <v>0</v>
      </c>
      <c r="I212" s="172"/>
      <c r="J212" s="250"/>
      <c r="K212" s="171">
        <f>0.055012+0.03735439</f>
        <v>9.2366389999999993E-2</v>
      </c>
      <c r="L212" s="171"/>
      <c r="M212" s="170">
        <v>5.5011999999999998E-2</v>
      </c>
      <c r="N212" s="243"/>
      <c r="O212" s="239"/>
      <c r="P212" s="235"/>
      <c r="Q212" s="249"/>
      <c r="R212" s="248"/>
      <c r="S212" s="248"/>
      <c r="T212" s="248"/>
      <c r="U212" s="248"/>
      <c r="V212" s="248"/>
      <c r="W212" s="247"/>
      <c r="X212" s="235">
        <f>P212*W$200</f>
        <v>0</v>
      </c>
      <c r="Z212" s="172"/>
      <c r="AA212" s="171">
        <f>0.055012+0.055012+0.055012+0.03735439</f>
        <v>0.20239038999999998</v>
      </c>
      <c r="AB212" s="171"/>
      <c r="AC212" s="171">
        <f>0.055012+0.055012+0.055012+0.03735439+0.03735439+0.03735439</f>
        <v>0.27709917000000001</v>
      </c>
      <c r="AD212" s="170"/>
      <c r="AE212" s="243"/>
      <c r="AF212" s="239"/>
      <c r="AG212" s="235"/>
      <c r="AH212" s="249"/>
      <c r="AI212" s="248"/>
      <c r="AJ212" s="248"/>
      <c r="AK212" s="248"/>
      <c r="AL212" s="248"/>
      <c r="AM212" s="248"/>
      <c r="AN212" s="247"/>
      <c r="AO212" s="235">
        <f>AG212*AN$200</f>
        <v>0</v>
      </c>
      <c r="AQ212" s="172">
        <f>0.055012+0.03735439</f>
        <v>9.2366389999999993E-2</v>
      </c>
      <c r="AR212" s="294"/>
      <c r="AS212" s="171"/>
      <c r="AT212" s="171"/>
      <c r="AU212" s="242"/>
      <c r="AV212" s="241"/>
      <c r="AW212" s="239"/>
      <c r="AX212" s="235"/>
      <c r="AY212" s="249"/>
      <c r="AZ212" s="248"/>
      <c r="BA212" s="248"/>
      <c r="BB212" s="248"/>
      <c r="BC212" s="248"/>
      <c r="BD212" s="248"/>
      <c r="BE212" s="247"/>
      <c r="BF212" s="235"/>
      <c r="BH212" s="260"/>
      <c r="BI212" s="166"/>
      <c r="BJ212" s="166"/>
      <c r="BK212" s="166"/>
      <c r="BL212" s="165"/>
      <c r="BM212" s="240"/>
      <c r="BN212" s="239"/>
      <c r="BO212" s="235">
        <f>SUM(BH212:BL212)</f>
        <v>0</v>
      </c>
      <c r="BP212" s="249"/>
      <c r="BQ212" s="248"/>
      <c r="BR212" s="248"/>
      <c r="BS212" s="248"/>
      <c r="BT212" s="248"/>
      <c r="BU212" s="248"/>
      <c r="BV212" s="247"/>
      <c r="BW212" s="235" t="e">
        <f>BO212*BV$200</f>
        <v>#REF!</v>
      </c>
      <c r="BY212" s="260"/>
      <c r="BZ212" s="166"/>
      <c r="CA212" s="166"/>
      <c r="CB212" s="166"/>
      <c r="CC212" s="165"/>
      <c r="CD212" s="240"/>
      <c r="CE212" s="239"/>
      <c r="CF212" s="235">
        <f>SUM(BY212:CC212)</f>
        <v>0</v>
      </c>
      <c r="CG212" s="249"/>
      <c r="CH212" s="248"/>
      <c r="CI212" s="248"/>
      <c r="CJ212" s="248"/>
      <c r="CK212" s="248"/>
      <c r="CL212" s="248"/>
      <c r="CM212" s="247"/>
      <c r="CN212" s="235" t="e">
        <f>CF212*CM$200</f>
        <v>#REF!</v>
      </c>
      <c r="CP212" s="198"/>
      <c r="CQ212" s="234">
        <f>SUMIF(I$1:CO$1,1,I212:CO212)</f>
        <v>0</v>
      </c>
      <c r="CR212" s="6"/>
      <c r="CS212" s="233" t="e">
        <f>SUMIF(I$1:CO$1,2,I212:CO212)</f>
        <v>#REF!</v>
      </c>
      <c r="CU212" s="246"/>
      <c r="CW212" s="270"/>
      <c r="CX212" s="270"/>
    </row>
    <row r="213" spans="1:117" ht="15" customHeight="1" x14ac:dyDescent="0.25">
      <c r="A213" s="307"/>
      <c r="B213" s="244"/>
      <c r="C213" s="72" t="s">
        <v>16</v>
      </c>
      <c r="D213" s="199" t="s">
        <v>228</v>
      </c>
      <c r="E213" s="174" t="s">
        <v>106</v>
      </c>
      <c r="F213" s="292"/>
      <c r="G213" s="292">
        <f>F213</f>
        <v>0</v>
      </c>
      <c r="I213" s="172"/>
      <c r="J213" s="250"/>
      <c r="K213" s="171">
        <v>0.22649538999999999</v>
      </c>
      <c r="L213" s="171"/>
      <c r="M213" s="170">
        <v>0.22649538999999999</v>
      </c>
      <c r="N213" s="243"/>
      <c r="O213" s="239"/>
      <c r="P213" s="235"/>
      <c r="Q213" s="238"/>
      <c r="R213" s="237"/>
      <c r="S213" s="237"/>
      <c r="T213" s="237"/>
      <c r="U213" s="237"/>
      <c r="V213" s="237"/>
      <c r="W213" s="236"/>
      <c r="X213" s="235">
        <f>P213*W$200</f>
        <v>0</v>
      </c>
      <c r="Z213" s="172"/>
      <c r="AA213" s="171">
        <v>0.22649538999999999</v>
      </c>
      <c r="AB213" s="171">
        <v>0.60251085000000004</v>
      </c>
      <c r="AC213" s="171">
        <f>0.30994106+0.22649539</f>
        <v>0.53643644999999995</v>
      </c>
      <c r="AD213" s="170">
        <v>0.74814871000000005</v>
      </c>
      <c r="AE213" s="243"/>
      <c r="AF213" s="239"/>
      <c r="AG213" s="235"/>
      <c r="AH213" s="238"/>
      <c r="AI213" s="237"/>
      <c r="AJ213" s="237"/>
      <c r="AK213" s="237"/>
      <c r="AL213" s="237"/>
      <c r="AM213" s="237"/>
      <c r="AN213" s="236"/>
      <c r="AO213" s="235">
        <f>AG213*AN$200</f>
        <v>0</v>
      </c>
      <c r="AQ213" s="172">
        <v>0.22649538999999999</v>
      </c>
      <c r="AR213" s="294"/>
      <c r="AS213" s="171"/>
      <c r="AT213" s="171"/>
      <c r="AU213" s="242"/>
      <c r="AV213" s="241"/>
      <c r="AW213" s="239"/>
      <c r="AX213" s="235"/>
      <c r="AY213" s="238"/>
      <c r="AZ213" s="237"/>
      <c r="BA213" s="237"/>
      <c r="BB213" s="237"/>
      <c r="BC213" s="237"/>
      <c r="BD213" s="237"/>
      <c r="BE213" s="236"/>
      <c r="BF213" s="235"/>
      <c r="BH213" s="260"/>
      <c r="BI213" s="166"/>
      <c r="BJ213" s="166"/>
      <c r="BK213" s="166"/>
      <c r="BL213" s="165"/>
      <c r="BM213" s="240"/>
      <c r="BN213" s="239"/>
      <c r="BO213" s="235">
        <f>SUM(BH213:BL213)</f>
        <v>0</v>
      </c>
      <c r="BP213" s="238"/>
      <c r="BQ213" s="237"/>
      <c r="BR213" s="237"/>
      <c r="BS213" s="237"/>
      <c r="BT213" s="237"/>
      <c r="BU213" s="237"/>
      <c r="BV213" s="236"/>
      <c r="BW213" s="235" t="e">
        <f>BO213*BV$200</f>
        <v>#REF!</v>
      </c>
      <c r="BY213" s="260"/>
      <c r="BZ213" s="166"/>
      <c r="CA213" s="166"/>
      <c r="CB213" s="166"/>
      <c r="CC213" s="165"/>
      <c r="CD213" s="240"/>
      <c r="CE213" s="239"/>
      <c r="CF213" s="235">
        <f>SUM(BY213:CC213)</f>
        <v>0</v>
      </c>
      <c r="CG213" s="238"/>
      <c r="CH213" s="237"/>
      <c r="CI213" s="237"/>
      <c r="CJ213" s="237"/>
      <c r="CK213" s="237"/>
      <c r="CL213" s="237"/>
      <c r="CM213" s="236"/>
      <c r="CN213" s="235" t="e">
        <f>CF213*CM$200</f>
        <v>#REF!</v>
      </c>
      <c r="CP213" s="6"/>
      <c r="CQ213" s="234">
        <f>SUMIF(I$1:CO$1,1,I213:CO213)</f>
        <v>0</v>
      </c>
      <c r="CR213" s="6"/>
      <c r="CS213" s="233" t="e">
        <f>SUMIF(I$1:CO$1,2,I213:CO213)</f>
        <v>#REF!</v>
      </c>
      <c r="CU213" s="246"/>
      <c r="CW213" s="270"/>
      <c r="CX213" s="270"/>
    </row>
    <row r="214" spans="1:117" ht="15" customHeight="1" thickBot="1" x14ac:dyDescent="0.3">
      <c r="A214" s="306"/>
      <c r="B214" s="231"/>
      <c r="C214" s="229"/>
      <c r="D214" s="230" t="s">
        <v>148</v>
      </c>
      <c r="E214" s="229"/>
      <c r="F214" s="289"/>
      <c r="G214" s="289"/>
      <c r="I214" s="227"/>
      <c r="J214" s="226"/>
      <c r="K214" s="226"/>
      <c r="L214" s="226"/>
      <c r="M214" s="225"/>
      <c r="N214" s="224"/>
      <c r="O214" s="218"/>
      <c r="P214" s="217"/>
      <c r="Q214" s="219"/>
      <c r="R214" s="219"/>
      <c r="S214" s="219"/>
      <c r="T214" s="219"/>
      <c r="U214" s="219"/>
      <c r="V214" s="219"/>
      <c r="W214" s="218"/>
      <c r="X214" s="217">
        <f>SUM(X200:X213)</f>
        <v>0</v>
      </c>
      <c r="Z214" s="304"/>
      <c r="AA214" s="305"/>
      <c r="AB214" s="305"/>
      <c r="AC214" s="305"/>
      <c r="AD214" s="289"/>
      <c r="AE214" s="224"/>
      <c r="AF214" s="218"/>
      <c r="AG214" s="217"/>
      <c r="AH214" s="219"/>
      <c r="AI214" s="219"/>
      <c r="AJ214" s="219"/>
      <c r="AK214" s="219"/>
      <c r="AL214" s="219"/>
      <c r="AM214" s="219"/>
      <c r="AN214" s="218"/>
      <c r="AO214" s="217">
        <f>SUM(AO200:AO213)</f>
        <v>0</v>
      </c>
      <c r="AQ214" s="304"/>
      <c r="AR214" s="226"/>
      <c r="AS214" s="226"/>
      <c r="AT214" s="226"/>
      <c r="AU214" s="226"/>
      <c r="AV214" s="223"/>
      <c r="AW214" s="218"/>
      <c r="AX214" s="217"/>
      <c r="AY214" s="219"/>
      <c r="AZ214" s="219"/>
      <c r="BA214" s="219"/>
      <c r="BB214" s="219"/>
      <c r="BC214" s="219"/>
      <c r="BD214" s="219"/>
      <c r="BE214" s="218"/>
      <c r="BF214" s="217"/>
      <c r="BH214" s="222"/>
      <c r="BI214" s="221"/>
      <c r="BJ214" s="221"/>
      <c r="BK214" s="221"/>
      <c r="BL214" s="221"/>
      <c r="BM214" s="220"/>
      <c r="BN214" s="218"/>
      <c r="BO214" s="217">
        <f>SUM(BO200:BO213)</f>
        <v>0</v>
      </c>
      <c r="BP214" s="219"/>
      <c r="BQ214" s="219"/>
      <c r="BR214" s="219"/>
      <c r="BS214" s="219"/>
      <c r="BT214" s="219"/>
      <c r="BU214" s="219"/>
      <c r="BV214" s="218"/>
      <c r="BW214" s="217" t="e">
        <f>SUM(BW200:BW213)</f>
        <v>#REF!</v>
      </c>
      <c r="BY214" s="222"/>
      <c r="BZ214" s="221"/>
      <c r="CA214" s="221"/>
      <c r="CB214" s="221"/>
      <c r="CC214" s="221"/>
      <c r="CD214" s="220"/>
      <c r="CE214" s="218"/>
      <c r="CF214" s="217">
        <f>SUM(CF200:CF213)</f>
        <v>0</v>
      </c>
      <c r="CG214" s="219"/>
      <c r="CH214" s="219"/>
      <c r="CI214" s="219"/>
      <c r="CJ214" s="219"/>
      <c r="CK214" s="219"/>
      <c r="CL214" s="219"/>
      <c r="CM214" s="218"/>
      <c r="CN214" s="217" t="e">
        <f>SUM(CN200:CN213)</f>
        <v>#REF!</v>
      </c>
      <c r="CP214" s="6"/>
      <c r="CQ214" s="139">
        <f>SUM(CQ200:CQ213)</f>
        <v>0</v>
      </c>
      <c r="CR214" s="6"/>
      <c r="CS214" s="139" t="e">
        <f>SUM(CS200:CS213)</f>
        <v>#REF!</v>
      </c>
      <c r="CU214" s="139"/>
      <c r="CW214" s="270"/>
      <c r="CX214" s="270"/>
    </row>
    <row r="215" spans="1:117" ht="15" customHeight="1" x14ac:dyDescent="0.25">
      <c r="A215" s="288" t="s">
        <v>227</v>
      </c>
      <c r="B215" s="303" t="s">
        <v>226</v>
      </c>
      <c r="C215" s="285" t="s">
        <v>225</v>
      </c>
      <c r="D215" s="302" t="s">
        <v>224</v>
      </c>
      <c r="E215" s="285" t="s">
        <v>215</v>
      </c>
      <c r="F215" s="299">
        <f>(8.75*(1.014*1.012*1.015)*1.1/1.17)*1.028*(1.058)</f>
        <v>9.3191900495026658</v>
      </c>
      <c r="G215" s="298">
        <f>F215*$G$1</f>
        <v>0</v>
      </c>
      <c r="I215" s="182"/>
      <c r="J215" s="181"/>
      <c r="K215" s="181"/>
      <c r="L215" s="181"/>
      <c r="M215" s="180"/>
      <c r="N215" s="284">
        <f>SUM(I215:M215)</f>
        <v>0</v>
      </c>
      <c r="O215" s="276">
        <v>1</v>
      </c>
      <c r="P215" s="272"/>
      <c r="Q215" s="275"/>
      <c r="R215" s="274"/>
      <c r="S215" s="274"/>
      <c r="T215" s="274"/>
      <c r="U215" s="274"/>
      <c r="V215" s="274"/>
      <c r="W215" s="273"/>
      <c r="X215" s="272">
        <f>P215*W$215</f>
        <v>0</v>
      </c>
      <c r="Z215" s="182"/>
      <c r="AA215" s="283"/>
      <c r="AB215" s="181"/>
      <c r="AC215" s="181"/>
      <c r="AD215" s="180"/>
      <c r="AE215" s="284">
        <f>SUM(Z215:AD215)</f>
        <v>0</v>
      </c>
      <c r="AF215" s="276">
        <v>1</v>
      </c>
      <c r="AG215" s="272"/>
      <c r="AH215" s="275"/>
      <c r="AI215" s="274"/>
      <c r="AJ215" s="274"/>
      <c r="AK215" s="274"/>
      <c r="AL215" s="274"/>
      <c r="AM215" s="274"/>
      <c r="AN215" s="273"/>
      <c r="AO215" s="272">
        <f>AG215*AN$215</f>
        <v>0</v>
      </c>
      <c r="AQ215" s="182"/>
      <c r="AR215" s="301"/>
      <c r="AS215" s="181"/>
      <c r="AT215" s="181"/>
      <c r="AU215" s="282"/>
      <c r="AV215" s="281">
        <f>SUM(AQ215:AU215)</f>
        <v>0</v>
      </c>
      <c r="AW215" s="276">
        <v>1</v>
      </c>
      <c r="AX215" s="272"/>
      <c r="AY215" s="275"/>
      <c r="AZ215" s="274"/>
      <c r="BA215" s="274"/>
      <c r="BB215" s="274"/>
      <c r="BC215" s="274"/>
      <c r="BD215" s="274"/>
      <c r="BE215" s="273"/>
      <c r="BF215" s="272"/>
      <c r="BH215" s="280"/>
      <c r="BI215" s="178"/>
      <c r="BJ215" s="178"/>
      <c r="BK215" s="178"/>
      <c r="BL215" s="177"/>
      <c r="BM215" s="277">
        <f>SUM(BH215:BL215)</f>
        <v>0</v>
      </c>
      <c r="BN215" s="276">
        <v>1</v>
      </c>
      <c r="BO215" s="272">
        <f>$G215*BM215*BN215</f>
        <v>0</v>
      </c>
      <c r="BP215" s="275" t="e">
        <f>VLOOKUP(BP5,#REF!,15,FALSE)/100+1</f>
        <v>#REF!</v>
      </c>
      <c r="BQ215" s="274" t="e">
        <f>VLOOKUP(BQ5,#REF!,15,FALSE)/100+1</f>
        <v>#REF!</v>
      </c>
      <c r="BR215" s="274" t="e">
        <f>VLOOKUP(BR5,#REF!,15,FALSE)/100+1</f>
        <v>#REF!</v>
      </c>
      <c r="BS215" s="274" t="e">
        <f>VLOOKUP(BS5,#REF!,15,FALSE)/100+1</f>
        <v>#REF!</v>
      </c>
      <c r="BT215" s="274" t="e">
        <f>VLOOKUP(BT5,#REF!,15,FALSE)/100+1</f>
        <v>#REF!</v>
      </c>
      <c r="BU215" s="274" t="e">
        <f>VLOOKUP(BU5,#REF!,15,FALSE)/100+1</f>
        <v>#REF!</v>
      </c>
      <c r="BV215" s="273" t="e">
        <f>BP215*BQ215*BR215*BS215*BT215*BU215</f>
        <v>#REF!</v>
      </c>
      <c r="BW215" s="272" t="e">
        <f>BO215*BV$215</f>
        <v>#REF!</v>
      </c>
      <c r="BY215" s="280"/>
      <c r="BZ215" s="178"/>
      <c r="CA215" s="178"/>
      <c r="CB215" s="178"/>
      <c r="CC215" s="177"/>
      <c r="CD215" s="277">
        <f>SUM(BY215:CC215)</f>
        <v>0</v>
      </c>
      <c r="CE215" s="276">
        <v>1</v>
      </c>
      <c r="CF215" s="272">
        <f>$G215*CD215*CE215</f>
        <v>0</v>
      </c>
      <c r="CG215" s="275" t="e">
        <f>VLOOKUP(CG5,#REF!,15,FALSE)/100+1</f>
        <v>#REF!</v>
      </c>
      <c r="CH215" s="274" t="e">
        <f>VLOOKUP(CH5,#REF!,15,FALSE)/100+1</f>
        <v>#REF!</v>
      </c>
      <c r="CI215" s="274" t="e">
        <f>VLOOKUP(CI5,#REF!,15,FALSE)/100+1</f>
        <v>#REF!</v>
      </c>
      <c r="CJ215" s="274" t="e">
        <f>VLOOKUP(CJ5,#REF!,15,FALSE)/100+1</f>
        <v>#REF!</v>
      </c>
      <c r="CK215" s="274" t="e">
        <f>VLOOKUP(CK5,#REF!,15,FALSE)/100+1</f>
        <v>#REF!</v>
      </c>
      <c r="CL215" s="274" t="e">
        <f>VLOOKUP(CL5,#REF!,15,FALSE)/100+1</f>
        <v>#REF!</v>
      </c>
      <c r="CM215" s="273" t="e">
        <f>CG215*CH215*CI215*CJ215*CK215*CL215</f>
        <v>#REF!</v>
      </c>
      <c r="CN215" s="272" t="e">
        <f>CF215*CM$215</f>
        <v>#REF!</v>
      </c>
      <c r="CP215" s="198"/>
      <c r="CQ215" s="271">
        <f>SUMIF(I$1:CO$1,1,I215:CO215)</f>
        <v>0</v>
      </c>
      <c r="CR215" s="6"/>
      <c r="CS215" s="271" t="e">
        <f>SUMIF(I$1:CO$1,2,I215:CO215)</f>
        <v>#REF!</v>
      </c>
      <c r="CU215" s="271">
        <f>SUMIF(I$1:CO$1,3,I215:CO215)</f>
        <v>0</v>
      </c>
      <c r="CW215" s="270"/>
      <c r="CX215" s="270"/>
      <c r="DD215" s="2"/>
    </row>
    <row r="216" spans="1:117" ht="15" customHeight="1" x14ac:dyDescent="0.25">
      <c r="A216" s="245"/>
      <c r="B216" s="267"/>
      <c r="C216" s="293" t="s">
        <v>223</v>
      </c>
      <c r="D216" s="300" t="s">
        <v>222</v>
      </c>
      <c r="E216" s="72" t="s">
        <v>215</v>
      </c>
      <c r="F216" s="299">
        <f>(8*(1.014*1.012*1.015)*1.1/1.17)*1.028*(1.058)</f>
        <v>8.5204023309738659</v>
      </c>
      <c r="G216" s="298">
        <f>F216*$G$1</f>
        <v>0</v>
      </c>
      <c r="I216" s="182"/>
      <c r="J216" s="181"/>
      <c r="K216" s="181"/>
      <c r="L216" s="181"/>
      <c r="M216" s="180"/>
      <c r="N216" s="243">
        <f>SUM(I216:M216)</f>
        <v>0</v>
      </c>
      <c r="O216" s="183">
        <v>1</v>
      </c>
      <c r="P216" s="235"/>
      <c r="Q216" s="249"/>
      <c r="R216" s="248"/>
      <c r="S216" s="248"/>
      <c r="T216" s="248"/>
      <c r="U216" s="248"/>
      <c r="V216" s="248"/>
      <c r="W216" s="247"/>
      <c r="X216" s="235">
        <f>P216*W$215</f>
        <v>0</v>
      </c>
      <c r="Z216" s="182"/>
      <c r="AA216" s="283"/>
      <c r="AB216" s="181"/>
      <c r="AC216" s="181"/>
      <c r="AD216" s="180"/>
      <c r="AE216" s="243">
        <f>SUM(Z216:AD216)</f>
        <v>0</v>
      </c>
      <c r="AF216" s="183">
        <v>1</v>
      </c>
      <c r="AG216" s="235"/>
      <c r="AH216" s="249"/>
      <c r="AI216" s="248"/>
      <c r="AJ216" s="248"/>
      <c r="AK216" s="248"/>
      <c r="AL216" s="248"/>
      <c r="AM216" s="248"/>
      <c r="AN216" s="247"/>
      <c r="AO216" s="235">
        <f>AG216*AN$215</f>
        <v>0</v>
      </c>
      <c r="AQ216" s="182"/>
      <c r="AR216" s="301"/>
      <c r="AS216" s="181"/>
      <c r="AT216" s="181"/>
      <c r="AU216" s="282"/>
      <c r="AV216" s="241">
        <f>SUM(AQ216:AU216)</f>
        <v>0</v>
      </c>
      <c r="AW216" s="183">
        <v>1</v>
      </c>
      <c r="AX216" s="235"/>
      <c r="AY216" s="249"/>
      <c r="AZ216" s="248"/>
      <c r="BA216" s="248"/>
      <c r="BB216" s="248"/>
      <c r="BC216" s="248"/>
      <c r="BD216" s="248"/>
      <c r="BE216" s="247"/>
      <c r="BF216" s="235"/>
      <c r="BH216" s="260"/>
      <c r="BI216" s="178"/>
      <c r="BJ216" s="178"/>
      <c r="BK216" s="178"/>
      <c r="BL216" s="177"/>
      <c r="BM216" s="240">
        <f>SUM(BH216:BL216)</f>
        <v>0</v>
      </c>
      <c r="BN216" s="183">
        <v>1</v>
      </c>
      <c r="BO216" s="235">
        <f>$G216*BM216*BN216</f>
        <v>0</v>
      </c>
      <c r="BP216" s="249"/>
      <c r="BQ216" s="248"/>
      <c r="BR216" s="248"/>
      <c r="BS216" s="248"/>
      <c r="BT216" s="248"/>
      <c r="BU216" s="248"/>
      <c r="BV216" s="247"/>
      <c r="BW216" s="235" t="e">
        <f>BO216*BV$215</f>
        <v>#REF!</v>
      </c>
      <c r="BY216" s="280"/>
      <c r="BZ216" s="178"/>
      <c r="CA216" s="178"/>
      <c r="CB216" s="178"/>
      <c r="CC216" s="177"/>
      <c r="CD216" s="240">
        <f>SUM(BY216:CC216)</f>
        <v>0</v>
      </c>
      <c r="CE216" s="183">
        <v>1</v>
      </c>
      <c r="CF216" s="235">
        <f>$G216*CD216*CE216</f>
        <v>0</v>
      </c>
      <c r="CG216" s="249"/>
      <c r="CH216" s="248"/>
      <c r="CI216" s="248"/>
      <c r="CJ216" s="248"/>
      <c r="CK216" s="248"/>
      <c r="CL216" s="248"/>
      <c r="CM216" s="247"/>
      <c r="CN216" s="235" t="e">
        <f>CF216*CM$215</f>
        <v>#REF!</v>
      </c>
      <c r="CP216" s="198"/>
      <c r="CQ216" s="234">
        <f>SUMIF(I$1:CO$1,1,I216:CO216)</f>
        <v>0</v>
      </c>
      <c r="CR216" s="6"/>
      <c r="CS216" s="233" t="e">
        <f>SUMIF(I$1:CO$1,2,I216:CO216)</f>
        <v>#REF!</v>
      </c>
      <c r="CU216" s="233">
        <f>SUMIF(I$1:CO$1,3,I216:CO216)</f>
        <v>0</v>
      </c>
      <c r="CW216" s="270"/>
    </row>
    <row r="217" spans="1:117" ht="15" customHeight="1" x14ac:dyDescent="0.25">
      <c r="A217" s="245"/>
      <c r="B217" s="267"/>
      <c r="C217" s="293" t="s">
        <v>221</v>
      </c>
      <c r="D217" s="300" t="s">
        <v>220</v>
      </c>
      <c r="E217" s="72" t="s">
        <v>215</v>
      </c>
      <c r="F217" s="299">
        <f>(7.2*(1.014*1.012*1.015)*1.1/1.17)*1.028*(1.058)</f>
        <v>7.6683620978764795</v>
      </c>
      <c r="G217" s="298">
        <f>F217*$G$1</f>
        <v>0</v>
      </c>
      <c r="I217" s="182"/>
      <c r="J217" s="181"/>
      <c r="K217" s="181"/>
      <c r="L217" s="181">
        <v>4.0999999999999996</v>
      </c>
      <c r="M217" s="180"/>
      <c r="N217" s="243">
        <f>SUM(I217:M217)</f>
        <v>4.0999999999999996</v>
      </c>
      <c r="O217" s="183">
        <v>1</v>
      </c>
      <c r="P217" s="235"/>
      <c r="Q217" s="249"/>
      <c r="R217" s="248"/>
      <c r="S217" s="248"/>
      <c r="T217" s="248"/>
      <c r="U217" s="248"/>
      <c r="V217" s="248"/>
      <c r="W217" s="247"/>
      <c r="X217" s="235">
        <f>P217*W$215</f>
        <v>0</v>
      </c>
      <c r="Z217" s="182">
        <v>6.4</v>
      </c>
      <c r="AA217" s="283"/>
      <c r="AB217" s="181">
        <v>4.4000000000000004</v>
      </c>
      <c r="AC217" s="181"/>
      <c r="AD217" s="180">
        <v>6.6</v>
      </c>
      <c r="AE217" s="243">
        <f>SUM(Z217:AD217)</f>
        <v>17.399999999999999</v>
      </c>
      <c r="AF217" s="183">
        <v>1</v>
      </c>
      <c r="AG217" s="235"/>
      <c r="AH217" s="249"/>
      <c r="AI217" s="248"/>
      <c r="AJ217" s="248"/>
      <c r="AK217" s="248"/>
      <c r="AL217" s="248"/>
      <c r="AM217" s="248"/>
      <c r="AN217" s="247"/>
      <c r="AO217" s="235">
        <f>AG217*AN$215</f>
        <v>0</v>
      </c>
      <c r="AQ217" s="182"/>
      <c r="AR217" s="301"/>
      <c r="AS217" s="181"/>
      <c r="AT217" s="181"/>
      <c r="AU217" s="282"/>
      <c r="AV217" s="241">
        <f>SUM(AQ217:AU217)</f>
        <v>0</v>
      </c>
      <c r="AW217" s="183">
        <v>1</v>
      </c>
      <c r="AX217" s="235"/>
      <c r="AY217" s="249"/>
      <c r="AZ217" s="248"/>
      <c r="BA217" s="248"/>
      <c r="BB217" s="248"/>
      <c r="BC217" s="248"/>
      <c r="BD217" s="248"/>
      <c r="BE217" s="247"/>
      <c r="BF217" s="235"/>
      <c r="BH217" s="260"/>
      <c r="BI217" s="178"/>
      <c r="BJ217" s="178"/>
      <c r="BK217" s="178"/>
      <c r="BL217" s="177"/>
      <c r="BM217" s="240">
        <f>SUM(BH217:BL217)</f>
        <v>0</v>
      </c>
      <c r="BN217" s="183">
        <v>1</v>
      </c>
      <c r="BO217" s="235">
        <f>$G217*BM217*BN217</f>
        <v>0</v>
      </c>
      <c r="BP217" s="249"/>
      <c r="BQ217" s="248"/>
      <c r="BR217" s="248"/>
      <c r="BS217" s="248"/>
      <c r="BT217" s="248"/>
      <c r="BU217" s="248"/>
      <c r="BV217" s="247"/>
      <c r="BW217" s="235" t="e">
        <f>BO217*BV$215</f>
        <v>#REF!</v>
      </c>
      <c r="BY217" s="280"/>
      <c r="BZ217" s="178"/>
      <c r="CA217" s="178"/>
      <c r="CB217" s="178"/>
      <c r="CC217" s="177"/>
      <c r="CD217" s="240">
        <f>SUM(BY217:CC217)</f>
        <v>0</v>
      </c>
      <c r="CE217" s="183">
        <v>1</v>
      </c>
      <c r="CF217" s="235">
        <f>$G217*CD217*CE217</f>
        <v>0</v>
      </c>
      <c r="CG217" s="249"/>
      <c r="CH217" s="248"/>
      <c r="CI217" s="248"/>
      <c r="CJ217" s="248"/>
      <c r="CK217" s="248"/>
      <c r="CL217" s="248"/>
      <c r="CM217" s="247"/>
      <c r="CN217" s="235" t="e">
        <f>CF217*CM$215</f>
        <v>#REF!</v>
      </c>
      <c r="CP217" s="198"/>
      <c r="CQ217" s="234">
        <f>SUMIF(I$1:CO$1,1,I217:CO217)</f>
        <v>0</v>
      </c>
      <c r="CR217" s="6"/>
      <c r="CS217" s="233" t="e">
        <f>SUMIF(I$1:CO$1,2,I217:CO217)</f>
        <v>#REF!</v>
      </c>
      <c r="CU217" s="233">
        <f>SUMIF(I$1:CO$1,3,I217:CO217)</f>
        <v>17.399999999999999</v>
      </c>
      <c r="CW217" s="270"/>
    </row>
    <row r="218" spans="1:117" ht="15" customHeight="1" x14ac:dyDescent="0.25">
      <c r="A218" s="245"/>
      <c r="B218" s="267"/>
      <c r="C218" s="293" t="s">
        <v>219</v>
      </c>
      <c r="D218" s="300" t="s">
        <v>218</v>
      </c>
      <c r="E218" s="72" t="s">
        <v>215</v>
      </c>
      <c r="F218" s="299">
        <f>(6.6*(1.014*1.012*1.015)*1.1/1.17)*1.028*(1.058)</f>
        <v>7.0293319230534399</v>
      </c>
      <c r="G218" s="298">
        <f>F218*$G$1</f>
        <v>0</v>
      </c>
      <c r="I218" s="172"/>
      <c r="J218" s="171"/>
      <c r="K218" s="171">
        <v>6.5</v>
      </c>
      <c r="L218" s="171"/>
      <c r="M218" s="170">
        <v>5</v>
      </c>
      <c r="N218" s="243">
        <f>SUM(I218:M218)</f>
        <v>11.5</v>
      </c>
      <c r="O218" s="183">
        <v>1</v>
      </c>
      <c r="P218" s="235"/>
      <c r="Q218" s="249"/>
      <c r="R218" s="248"/>
      <c r="S218" s="248"/>
      <c r="T218" s="248"/>
      <c r="U218" s="248"/>
      <c r="V218" s="248"/>
      <c r="W218" s="247"/>
      <c r="X218" s="235">
        <f>P218*W$215</f>
        <v>0</v>
      </c>
      <c r="Z218" s="172"/>
      <c r="AA218" s="261">
        <v>8.5</v>
      </c>
      <c r="AB218" s="171"/>
      <c r="AC218" s="171">
        <v>10.5</v>
      </c>
      <c r="AD218" s="170"/>
      <c r="AE218" s="243">
        <f>SUM(Z218:AD218)</f>
        <v>19</v>
      </c>
      <c r="AF218" s="183">
        <v>1</v>
      </c>
      <c r="AG218" s="235"/>
      <c r="AH218" s="249"/>
      <c r="AI218" s="248"/>
      <c r="AJ218" s="248"/>
      <c r="AK218" s="248"/>
      <c r="AL218" s="248"/>
      <c r="AM218" s="248"/>
      <c r="AN218" s="247"/>
      <c r="AO218" s="235">
        <f>AG218*AN$215</f>
        <v>0</v>
      </c>
      <c r="AQ218" s="172">
        <v>12.8</v>
      </c>
      <c r="AR218" s="294"/>
      <c r="AS218" s="171"/>
      <c r="AT218" s="171"/>
      <c r="AU218" s="242"/>
      <c r="AV218" s="241">
        <f>SUM(AQ218:AU218)</f>
        <v>12.8</v>
      </c>
      <c r="AW218" s="183">
        <v>1</v>
      </c>
      <c r="AX218" s="235"/>
      <c r="AY218" s="249"/>
      <c r="AZ218" s="248"/>
      <c r="BA218" s="248"/>
      <c r="BB218" s="248"/>
      <c r="BC218" s="248"/>
      <c r="BD218" s="248"/>
      <c r="BE218" s="247"/>
      <c r="BF218" s="235"/>
      <c r="BH218" s="260"/>
      <c r="BI218" s="166"/>
      <c r="BJ218" s="166"/>
      <c r="BK218" s="166"/>
      <c r="BL218" s="165"/>
      <c r="BM218" s="240">
        <f>SUM(BH218:BL218)</f>
        <v>0</v>
      </c>
      <c r="BN218" s="183">
        <v>1</v>
      </c>
      <c r="BO218" s="235">
        <f>$G218*BM218*BN218</f>
        <v>0</v>
      </c>
      <c r="BP218" s="249"/>
      <c r="BQ218" s="248"/>
      <c r="BR218" s="248"/>
      <c r="BS218" s="248"/>
      <c r="BT218" s="248"/>
      <c r="BU218" s="248"/>
      <c r="BV218" s="247"/>
      <c r="BW218" s="235" t="e">
        <f>BO218*BV$215</f>
        <v>#REF!</v>
      </c>
      <c r="BY218" s="260"/>
      <c r="BZ218" s="166"/>
      <c r="CA218" s="166"/>
      <c r="CB218" s="166"/>
      <c r="CC218" s="165"/>
      <c r="CD218" s="240">
        <f>SUM(BY218:CC218)</f>
        <v>0</v>
      </c>
      <c r="CE218" s="183">
        <v>1</v>
      </c>
      <c r="CF218" s="235">
        <f>$G218*CD218*CE218</f>
        <v>0</v>
      </c>
      <c r="CG218" s="249"/>
      <c r="CH218" s="248"/>
      <c r="CI218" s="248"/>
      <c r="CJ218" s="248"/>
      <c r="CK218" s="248"/>
      <c r="CL218" s="248"/>
      <c r="CM218" s="247"/>
      <c r="CN218" s="235" t="e">
        <f>CF218*CM$215</f>
        <v>#REF!</v>
      </c>
      <c r="CP218" s="198"/>
      <c r="CQ218" s="234">
        <f>SUMIF(I$1:CO$1,1,I218:CO218)</f>
        <v>0</v>
      </c>
      <c r="CR218" s="6"/>
      <c r="CS218" s="233" t="e">
        <f>SUMIF(I$1:CO$1,2,I218:CO218)</f>
        <v>#REF!</v>
      </c>
      <c r="CU218" s="233">
        <f>SUMIF(I$1:CO$1,3,I218:CO218)</f>
        <v>31.8</v>
      </c>
      <c r="CW218" s="270"/>
      <c r="CX218" s="2"/>
      <c r="CY218" s="2"/>
    </row>
    <row r="219" spans="1:117" ht="15" customHeight="1" x14ac:dyDescent="0.25">
      <c r="A219" s="245"/>
      <c r="B219" s="267"/>
      <c r="C219" s="293" t="s">
        <v>217</v>
      </c>
      <c r="D219" s="265" t="s">
        <v>216</v>
      </c>
      <c r="E219" s="72" t="s">
        <v>215</v>
      </c>
      <c r="F219" s="299">
        <f>(1.1*(1.014*1.012*1.015)*1.1/1.17)*1.028*(1.058)</f>
        <v>1.1715553205089069</v>
      </c>
      <c r="G219" s="298">
        <f>F219*$G$1</f>
        <v>0</v>
      </c>
      <c r="I219" s="172"/>
      <c r="J219" s="171"/>
      <c r="K219" s="171">
        <v>3.1</v>
      </c>
      <c r="L219" s="171">
        <v>1.4</v>
      </c>
      <c r="M219" s="170">
        <v>2.2000000000000002</v>
      </c>
      <c r="N219" s="243">
        <f>SUM(I219:M219)</f>
        <v>6.7</v>
      </c>
      <c r="O219" s="183">
        <v>1</v>
      </c>
      <c r="P219" s="235"/>
      <c r="Q219" s="249"/>
      <c r="R219" s="248"/>
      <c r="S219" s="248"/>
      <c r="T219" s="248"/>
      <c r="U219" s="248"/>
      <c r="V219" s="248"/>
      <c r="W219" s="247"/>
      <c r="X219" s="235">
        <f>P219*W$215</f>
        <v>0</v>
      </c>
      <c r="Z219" s="172">
        <v>4.8</v>
      </c>
      <c r="AA219" s="261">
        <v>4.0999999999999996</v>
      </c>
      <c r="AB219" s="171">
        <v>3.1</v>
      </c>
      <c r="AC219" s="171">
        <v>5.2</v>
      </c>
      <c r="AD219" s="170">
        <v>3.6</v>
      </c>
      <c r="AE219" s="243">
        <f>SUM(Z219:AD219)</f>
        <v>20.8</v>
      </c>
      <c r="AF219" s="183">
        <v>1</v>
      </c>
      <c r="AG219" s="235"/>
      <c r="AH219" s="249"/>
      <c r="AI219" s="248"/>
      <c r="AJ219" s="248"/>
      <c r="AK219" s="248"/>
      <c r="AL219" s="248"/>
      <c r="AM219" s="248"/>
      <c r="AN219" s="247"/>
      <c r="AO219" s="235">
        <f>AG219*AN$215</f>
        <v>0</v>
      </c>
      <c r="AQ219" s="172">
        <v>5.0999999999999996</v>
      </c>
      <c r="AR219" s="294"/>
      <c r="AS219" s="171"/>
      <c r="AT219" s="171"/>
      <c r="AU219" s="242"/>
      <c r="AV219" s="241">
        <f>SUM(AQ219:AU219)</f>
        <v>5.0999999999999996</v>
      </c>
      <c r="AW219" s="183">
        <v>1</v>
      </c>
      <c r="AX219" s="235"/>
      <c r="AY219" s="249"/>
      <c r="AZ219" s="248"/>
      <c r="BA219" s="248"/>
      <c r="BB219" s="248"/>
      <c r="BC219" s="248"/>
      <c r="BD219" s="248"/>
      <c r="BE219" s="247"/>
      <c r="BF219" s="235"/>
      <c r="BH219" s="260"/>
      <c r="BI219" s="166"/>
      <c r="BJ219" s="166"/>
      <c r="BK219" s="166"/>
      <c r="BL219" s="165"/>
      <c r="BM219" s="240">
        <f>SUM(BH219:BL219)</f>
        <v>0</v>
      </c>
      <c r="BN219" s="183">
        <v>1</v>
      </c>
      <c r="BO219" s="235">
        <f>$G219*BM219*BN219</f>
        <v>0</v>
      </c>
      <c r="BP219" s="249"/>
      <c r="BQ219" s="248"/>
      <c r="BR219" s="248"/>
      <c r="BS219" s="248"/>
      <c r="BT219" s="248"/>
      <c r="BU219" s="248"/>
      <c r="BV219" s="247"/>
      <c r="BW219" s="235" t="e">
        <f>BO219*BV$215</f>
        <v>#REF!</v>
      </c>
      <c r="BY219" s="260"/>
      <c r="BZ219" s="166"/>
      <c r="CA219" s="166"/>
      <c r="CB219" s="166"/>
      <c r="CC219" s="165"/>
      <c r="CD219" s="240">
        <f>SUM(BY219:CC219)</f>
        <v>0</v>
      </c>
      <c r="CE219" s="183">
        <v>1</v>
      </c>
      <c r="CF219" s="235">
        <f>$G219*CD219*CE219</f>
        <v>0</v>
      </c>
      <c r="CG219" s="249"/>
      <c r="CH219" s="248"/>
      <c r="CI219" s="248"/>
      <c r="CJ219" s="248"/>
      <c r="CK219" s="248"/>
      <c r="CL219" s="248"/>
      <c r="CM219" s="247"/>
      <c r="CN219" s="235" t="e">
        <f>CF219*CM$215</f>
        <v>#REF!</v>
      </c>
      <c r="CP219" s="198"/>
      <c r="CQ219" s="234">
        <f>SUMIF(I$1:CO$1,1,I219:CO219)</f>
        <v>0</v>
      </c>
      <c r="CR219" s="6"/>
      <c r="CS219" s="233" t="e">
        <f>SUMIF(I$1:CO$1,2,I219:CO219)</f>
        <v>#REF!</v>
      </c>
      <c r="CU219" s="233">
        <f>SUMIF(I$1:CO$1,3,I219:CO219)</f>
        <v>25.9</v>
      </c>
      <c r="CW219" s="270"/>
    </row>
    <row r="220" spans="1:117" ht="15" customHeight="1" x14ac:dyDescent="0.25">
      <c r="A220" s="245"/>
      <c r="B220" s="257" t="s">
        <v>178</v>
      </c>
      <c r="C220" s="293" t="s">
        <v>15</v>
      </c>
      <c r="D220" s="297" t="s">
        <v>214</v>
      </c>
      <c r="E220" s="296" t="s">
        <v>212</v>
      </c>
      <c r="F220" s="295">
        <f>4.5*1.058</f>
        <v>4.7610000000000001</v>
      </c>
      <c r="G220" s="295">
        <f>F220*$G$1</f>
        <v>0</v>
      </c>
      <c r="I220" s="172"/>
      <c r="J220" s="171"/>
      <c r="K220" s="171"/>
      <c r="L220" s="171"/>
      <c r="M220" s="170"/>
      <c r="N220" s="243">
        <f>SUM(I220:M220)</f>
        <v>0</v>
      </c>
      <c r="O220" s="183">
        <v>1</v>
      </c>
      <c r="P220" s="235"/>
      <c r="Q220" s="249"/>
      <c r="R220" s="248"/>
      <c r="S220" s="248"/>
      <c r="T220" s="248"/>
      <c r="U220" s="248"/>
      <c r="V220" s="248"/>
      <c r="W220" s="247"/>
      <c r="X220" s="235">
        <f>P220*W$215</f>
        <v>0</v>
      </c>
      <c r="Z220" s="172"/>
      <c r="AA220" s="261"/>
      <c r="AB220" s="171"/>
      <c r="AC220" s="171"/>
      <c r="AD220" s="170">
        <v>0.8</v>
      </c>
      <c r="AE220" s="243">
        <f>SUM(Z220:AD220)</f>
        <v>0.8</v>
      </c>
      <c r="AF220" s="183">
        <v>1</v>
      </c>
      <c r="AG220" s="235"/>
      <c r="AH220" s="249"/>
      <c r="AI220" s="248"/>
      <c r="AJ220" s="248"/>
      <c r="AK220" s="248"/>
      <c r="AL220" s="248"/>
      <c r="AM220" s="248"/>
      <c r="AN220" s="247"/>
      <c r="AO220" s="235">
        <f>AG220*AN$215</f>
        <v>0</v>
      </c>
      <c r="AQ220" s="172"/>
      <c r="AR220" s="294"/>
      <c r="AS220" s="171"/>
      <c r="AT220" s="171"/>
      <c r="AU220" s="242"/>
      <c r="AV220" s="241">
        <f>SUM(AQ220:AU220)</f>
        <v>0</v>
      </c>
      <c r="AW220" s="183">
        <v>1</v>
      </c>
      <c r="AX220" s="235"/>
      <c r="AY220" s="249"/>
      <c r="AZ220" s="248"/>
      <c r="BA220" s="248"/>
      <c r="BB220" s="248"/>
      <c r="BC220" s="248"/>
      <c r="BD220" s="248"/>
      <c r="BE220" s="247"/>
      <c r="BF220" s="235"/>
      <c r="BH220" s="260"/>
      <c r="BI220" s="166"/>
      <c r="BJ220" s="166"/>
      <c r="BK220" s="166"/>
      <c r="BL220" s="165"/>
      <c r="BM220" s="240">
        <f>SUM(BH220:BL220)</f>
        <v>0</v>
      </c>
      <c r="BN220" s="183">
        <v>1</v>
      </c>
      <c r="BO220" s="235">
        <f>$G220*BM220*BN220</f>
        <v>0</v>
      </c>
      <c r="BP220" s="249"/>
      <c r="BQ220" s="248"/>
      <c r="BR220" s="248"/>
      <c r="BS220" s="248"/>
      <c r="BT220" s="248"/>
      <c r="BU220" s="248"/>
      <c r="BV220" s="247"/>
      <c r="BW220" s="235" t="e">
        <f>BO220*BV$215</f>
        <v>#REF!</v>
      </c>
      <c r="BY220" s="260"/>
      <c r="BZ220" s="166"/>
      <c r="CA220" s="166"/>
      <c r="CB220" s="166"/>
      <c r="CC220" s="165"/>
      <c r="CD220" s="240">
        <f>SUM(BY220:CC220)</f>
        <v>0</v>
      </c>
      <c r="CE220" s="183">
        <v>1</v>
      </c>
      <c r="CF220" s="235">
        <f>$G220*CD220*CE220</f>
        <v>0</v>
      </c>
      <c r="CG220" s="249"/>
      <c r="CH220" s="248"/>
      <c r="CI220" s="248"/>
      <c r="CJ220" s="248"/>
      <c r="CK220" s="248"/>
      <c r="CL220" s="248"/>
      <c r="CM220" s="247"/>
      <c r="CN220" s="235" t="e">
        <f>CF220*CM$215</f>
        <v>#REF!</v>
      </c>
      <c r="CP220" s="198"/>
      <c r="CQ220" s="234">
        <f>SUMIF(I$1:CO$1,1,I220:CO220)</f>
        <v>0</v>
      </c>
      <c r="CR220" s="6"/>
      <c r="CS220" s="233" t="e">
        <f>SUMIF(I$1:CO$1,2,I220:CO220)</f>
        <v>#REF!</v>
      </c>
      <c r="CU220" s="233">
        <f>SUMIF(I$1:CO$1,3,I220:CO220)</f>
        <v>0.8</v>
      </c>
      <c r="CW220" s="270"/>
    </row>
    <row r="221" spans="1:117" ht="15" customHeight="1" x14ac:dyDescent="0.25">
      <c r="A221" s="245"/>
      <c r="B221" s="244"/>
      <c r="C221" s="293" t="s">
        <v>14</v>
      </c>
      <c r="D221" s="297" t="s">
        <v>213</v>
      </c>
      <c r="E221" s="296" t="s">
        <v>212</v>
      </c>
      <c r="F221" s="295">
        <f>4.5*1.058</f>
        <v>4.7610000000000001</v>
      </c>
      <c r="G221" s="295">
        <f>F221*$G$1</f>
        <v>0</v>
      </c>
      <c r="I221" s="172"/>
      <c r="J221" s="171"/>
      <c r="K221" s="171"/>
      <c r="L221" s="171"/>
      <c r="M221" s="170"/>
      <c r="N221" s="243">
        <f>SUM(I221:M221)</f>
        <v>0</v>
      </c>
      <c r="O221" s="183">
        <v>1</v>
      </c>
      <c r="P221" s="235"/>
      <c r="Q221" s="249"/>
      <c r="R221" s="248"/>
      <c r="S221" s="248"/>
      <c r="T221" s="248"/>
      <c r="U221" s="248"/>
      <c r="V221" s="248"/>
      <c r="W221" s="247"/>
      <c r="X221" s="235">
        <f>P221*W$215</f>
        <v>0</v>
      </c>
      <c r="Z221" s="172"/>
      <c r="AA221" s="261"/>
      <c r="AB221" s="171"/>
      <c r="AC221" s="171"/>
      <c r="AD221" s="170">
        <v>0.72</v>
      </c>
      <c r="AE221" s="243">
        <f>SUM(Z221:AD221)</f>
        <v>0.72</v>
      </c>
      <c r="AF221" s="183">
        <v>1</v>
      </c>
      <c r="AG221" s="235"/>
      <c r="AH221" s="249"/>
      <c r="AI221" s="248"/>
      <c r="AJ221" s="248"/>
      <c r="AK221" s="248"/>
      <c r="AL221" s="248"/>
      <c r="AM221" s="248"/>
      <c r="AN221" s="247"/>
      <c r="AO221" s="235">
        <f>AG221*AN$215</f>
        <v>0</v>
      </c>
      <c r="AQ221" s="172"/>
      <c r="AR221" s="294"/>
      <c r="AS221" s="171"/>
      <c r="AT221" s="171"/>
      <c r="AU221" s="242"/>
      <c r="AV221" s="241">
        <f>SUM(AQ221:AU221)</f>
        <v>0</v>
      </c>
      <c r="AW221" s="183">
        <v>1</v>
      </c>
      <c r="AX221" s="235"/>
      <c r="AY221" s="249"/>
      <c r="AZ221" s="248"/>
      <c r="BA221" s="248"/>
      <c r="BB221" s="248"/>
      <c r="BC221" s="248"/>
      <c r="BD221" s="248"/>
      <c r="BE221" s="247"/>
      <c r="BF221" s="235"/>
      <c r="BH221" s="260"/>
      <c r="BI221" s="166"/>
      <c r="BJ221" s="166"/>
      <c r="BK221" s="166"/>
      <c r="BL221" s="165"/>
      <c r="BM221" s="240">
        <f>SUM(BH221:BL221)</f>
        <v>0</v>
      </c>
      <c r="BN221" s="183">
        <v>1</v>
      </c>
      <c r="BO221" s="235">
        <f>$G221*BM221*BN221</f>
        <v>0</v>
      </c>
      <c r="BP221" s="249"/>
      <c r="BQ221" s="248"/>
      <c r="BR221" s="248"/>
      <c r="BS221" s="248"/>
      <c r="BT221" s="248"/>
      <c r="BU221" s="248"/>
      <c r="BV221" s="247"/>
      <c r="BW221" s="235" t="e">
        <f>BO221*BV$215</f>
        <v>#REF!</v>
      </c>
      <c r="BY221" s="260"/>
      <c r="BZ221" s="166"/>
      <c r="CA221" s="166"/>
      <c r="CB221" s="166"/>
      <c r="CC221" s="165"/>
      <c r="CD221" s="240">
        <f>SUM(BY221:CC221)</f>
        <v>0</v>
      </c>
      <c r="CE221" s="183">
        <v>1</v>
      </c>
      <c r="CF221" s="235">
        <f>$G221*CD221*CE221</f>
        <v>0</v>
      </c>
      <c r="CG221" s="249"/>
      <c r="CH221" s="248"/>
      <c r="CI221" s="248"/>
      <c r="CJ221" s="248"/>
      <c r="CK221" s="248"/>
      <c r="CL221" s="248"/>
      <c r="CM221" s="247"/>
      <c r="CN221" s="235" t="e">
        <f>CF221*CM$215</f>
        <v>#REF!</v>
      </c>
      <c r="CP221" s="198"/>
      <c r="CQ221" s="234">
        <f>SUMIF(I$1:CO$1,1,I221:CO221)</f>
        <v>0</v>
      </c>
      <c r="CR221" s="6"/>
      <c r="CS221" s="233" t="e">
        <f>SUMIF(I$1:CO$1,2,I221:CO221)</f>
        <v>#REF!</v>
      </c>
      <c r="CU221" s="233">
        <f>SUMIF(I$1:CO$1,3,I221:CO221)</f>
        <v>0.72</v>
      </c>
      <c r="CW221" s="270"/>
    </row>
    <row r="222" spans="1:117" ht="15" customHeight="1" x14ac:dyDescent="0.25">
      <c r="A222" s="245"/>
      <c r="B222" s="244"/>
      <c r="C222" s="293" t="s">
        <v>13</v>
      </c>
      <c r="D222" s="252" t="s">
        <v>211</v>
      </c>
      <c r="E222" s="174" t="s">
        <v>106</v>
      </c>
      <c r="F222" s="292"/>
      <c r="G222" s="292">
        <f>F222</f>
        <v>0</v>
      </c>
      <c r="I222" s="251"/>
      <c r="J222" s="250"/>
      <c r="K222" s="171">
        <v>9.9214248650082428</v>
      </c>
      <c r="L222" s="171">
        <v>6.8471295302359678</v>
      </c>
      <c r="M222" s="170">
        <v>8.2288652807755707</v>
      </c>
      <c r="N222" s="243"/>
      <c r="O222" s="239"/>
      <c r="P222" s="235"/>
      <c r="Q222" s="249"/>
      <c r="R222" s="248"/>
      <c r="S222" s="248"/>
      <c r="T222" s="248"/>
      <c r="U222" s="248"/>
      <c r="V222" s="248"/>
      <c r="W222" s="247"/>
      <c r="X222" s="235">
        <f>P222*W$215</f>
        <v>0</v>
      </c>
      <c r="Z222" s="172">
        <v>9.7687875593927327</v>
      </c>
      <c r="AA222" s="171">
        <v>12.974170977318472</v>
      </c>
      <c r="AB222" s="171">
        <v>6.7160414470825032</v>
      </c>
      <c r="AC222" s="171">
        <v>16.6199170896287</v>
      </c>
      <c r="AD222" s="170">
        <v>10.074062170623755</v>
      </c>
      <c r="AE222" s="243"/>
      <c r="AF222" s="239"/>
      <c r="AG222" s="235"/>
      <c r="AH222" s="249"/>
      <c r="AI222" s="248"/>
      <c r="AJ222" s="248"/>
      <c r="AK222" s="248"/>
      <c r="AL222" s="248"/>
      <c r="AM222" s="248"/>
      <c r="AN222" s="247"/>
      <c r="AO222" s="235">
        <f>AG222*AN$215</f>
        <v>0</v>
      </c>
      <c r="AQ222" s="172">
        <v>19.537575118785465</v>
      </c>
      <c r="AR222" s="294"/>
      <c r="AS222" s="171"/>
      <c r="AT222" s="171"/>
      <c r="AU222" s="242"/>
      <c r="AV222" s="241"/>
      <c r="AW222" s="239"/>
      <c r="AX222" s="235"/>
      <c r="AY222" s="249"/>
      <c r="AZ222" s="248"/>
      <c r="BA222" s="248"/>
      <c r="BB222" s="248"/>
      <c r="BC222" s="248"/>
      <c r="BD222" s="248"/>
      <c r="BE222" s="247"/>
      <c r="BF222" s="235"/>
      <c r="BH222" s="260"/>
      <c r="BI222" s="166"/>
      <c r="BJ222" s="166"/>
      <c r="BK222" s="166"/>
      <c r="BL222" s="165"/>
      <c r="BM222" s="240"/>
      <c r="BN222" s="239"/>
      <c r="BO222" s="235">
        <f>SUM(BH222:BL222)</f>
        <v>0</v>
      </c>
      <c r="BP222" s="249"/>
      <c r="BQ222" s="248"/>
      <c r="BR222" s="248"/>
      <c r="BS222" s="248"/>
      <c r="BT222" s="248"/>
      <c r="BU222" s="248"/>
      <c r="BV222" s="247"/>
      <c r="BW222" s="235" t="e">
        <f>BO222*BV$215</f>
        <v>#REF!</v>
      </c>
      <c r="BY222" s="260"/>
      <c r="BZ222" s="166"/>
      <c r="CA222" s="166"/>
      <c r="CB222" s="166"/>
      <c r="CC222" s="165"/>
      <c r="CD222" s="240"/>
      <c r="CE222" s="239"/>
      <c r="CF222" s="235">
        <f>SUM(BY222:CC222)</f>
        <v>0</v>
      </c>
      <c r="CG222" s="249"/>
      <c r="CH222" s="248"/>
      <c r="CI222" s="248"/>
      <c r="CJ222" s="248"/>
      <c r="CK222" s="248"/>
      <c r="CL222" s="248"/>
      <c r="CM222" s="247"/>
      <c r="CN222" s="235" t="e">
        <f>CF222*CM$215</f>
        <v>#REF!</v>
      </c>
      <c r="CP222" s="198"/>
      <c r="CQ222" s="234">
        <f>SUMIF(I$1:CO$1,1,I222:CO222)</f>
        <v>0</v>
      </c>
      <c r="CR222" s="6"/>
      <c r="CS222" s="233" t="e">
        <f>SUMIF(I$1:CO$1,2,I222:CO222)</f>
        <v>#REF!</v>
      </c>
      <c r="CU222" s="246"/>
      <c r="CW222" s="270"/>
      <c r="CY222" s="2"/>
    </row>
    <row r="223" spans="1:117" ht="15" customHeight="1" x14ac:dyDescent="0.25">
      <c r="A223" s="245"/>
      <c r="B223" s="244"/>
      <c r="C223" s="293" t="s">
        <v>12</v>
      </c>
      <c r="D223" s="199" t="s">
        <v>173</v>
      </c>
      <c r="E223" s="174" t="s">
        <v>106</v>
      </c>
      <c r="F223" s="292"/>
      <c r="G223" s="292">
        <f>F223</f>
        <v>0</v>
      </c>
      <c r="I223" s="172"/>
      <c r="J223" s="171"/>
      <c r="K223" s="171"/>
      <c r="L223" s="171"/>
      <c r="M223" s="170"/>
      <c r="N223" s="243"/>
      <c r="O223" s="239"/>
      <c r="P223" s="235"/>
      <c r="Q223" s="238"/>
      <c r="R223" s="237"/>
      <c r="S223" s="237"/>
      <c r="T223" s="237"/>
      <c r="U223" s="237"/>
      <c r="V223" s="237"/>
      <c r="W223" s="236"/>
      <c r="X223" s="235">
        <f>P223*W$215</f>
        <v>0</v>
      </c>
      <c r="Z223" s="291"/>
      <c r="AA223" s="171"/>
      <c r="AB223" s="171"/>
      <c r="AC223" s="171"/>
      <c r="AD223" s="170"/>
      <c r="AE223" s="243"/>
      <c r="AF223" s="239"/>
      <c r="AG223" s="235"/>
      <c r="AH223" s="238"/>
      <c r="AI223" s="237"/>
      <c r="AJ223" s="237"/>
      <c r="AK223" s="237"/>
      <c r="AL223" s="237"/>
      <c r="AM223" s="237"/>
      <c r="AN223" s="236"/>
      <c r="AO223" s="235">
        <f>AG223*AN$215</f>
        <v>0</v>
      </c>
      <c r="AQ223" s="291"/>
      <c r="AR223" s="171"/>
      <c r="AS223" s="171"/>
      <c r="AT223" s="171"/>
      <c r="AU223" s="242"/>
      <c r="AV223" s="241"/>
      <c r="AW223" s="239"/>
      <c r="AX223" s="235"/>
      <c r="AY223" s="238"/>
      <c r="AZ223" s="237"/>
      <c r="BA223" s="237"/>
      <c r="BB223" s="237"/>
      <c r="BC223" s="237"/>
      <c r="BD223" s="237"/>
      <c r="BE223" s="236"/>
      <c r="BF223" s="235"/>
      <c r="BH223" s="260"/>
      <c r="BI223" s="166"/>
      <c r="BJ223" s="166"/>
      <c r="BK223" s="166"/>
      <c r="BL223" s="165"/>
      <c r="BM223" s="240"/>
      <c r="BN223" s="239"/>
      <c r="BO223" s="235">
        <f>SUM(BH223:BL223)</f>
        <v>0</v>
      </c>
      <c r="BP223" s="238"/>
      <c r="BQ223" s="237"/>
      <c r="BR223" s="237"/>
      <c r="BS223" s="237"/>
      <c r="BT223" s="237"/>
      <c r="BU223" s="237"/>
      <c r="BV223" s="236"/>
      <c r="BW223" s="235" t="e">
        <f>BO223*BV$215</f>
        <v>#REF!</v>
      </c>
      <c r="BY223" s="260"/>
      <c r="BZ223" s="166"/>
      <c r="CA223" s="166"/>
      <c r="CB223" s="166"/>
      <c r="CC223" s="165"/>
      <c r="CD223" s="240"/>
      <c r="CE223" s="239"/>
      <c r="CF223" s="235">
        <f>SUM(BY223:CC223)</f>
        <v>0</v>
      </c>
      <c r="CG223" s="238"/>
      <c r="CH223" s="237"/>
      <c r="CI223" s="237"/>
      <c r="CJ223" s="237"/>
      <c r="CK223" s="237"/>
      <c r="CL223" s="237"/>
      <c r="CM223" s="236"/>
      <c r="CN223" s="235" t="e">
        <f>CF223*CM$215</f>
        <v>#REF!</v>
      </c>
      <c r="CP223" s="6"/>
      <c r="CQ223" s="234">
        <f>SUMIF(I$1:CO$1,1,I223:CO223)</f>
        <v>0</v>
      </c>
      <c r="CR223" s="6"/>
      <c r="CS223" s="233" t="e">
        <f>SUMIF(I$1:CO$1,2,I223:CO223)</f>
        <v>#REF!</v>
      </c>
      <c r="CU223" s="233">
        <f>SUMIF(I$1:CO$1,3,I223:CO223)</f>
        <v>0</v>
      </c>
      <c r="CW223" s="270"/>
      <c r="DA223" s="290"/>
      <c r="DB223" s="290"/>
      <c r="DC223" s="290"/>
      <c r="DE223" s="290"/>
      <c r="DF223" s="290"/>
      <c r="DG223" s="290"/>
      <c r="DH223" s="290"/>
      <c r="DI223" s="290"/>
      <c r="DK223" s="290"/>
      <c r="DM223" s="290"/>
    </row>
    <row r="224" spans="1:117" ht="15" customHeight="1" thickBot="1" x14ac:dyDescent="0.3">
      <c r="A224" s="245"/>
      <c r="B224" s="231"/>
      <c r="C224" s="229"/>
      <c r="D224" s="230" t="s">
        <v>148</v>
      </c>
      <c r="E224" s="229"/>
      <c r="F224" s="289"/>
      <c r="G224" s="289"/>
      <c r="I224" s="227"/>
      <c r="J224" s="226"/>
      <c r="K224" s="226"/>
      <c r="L224" s="226"/>
      <c r="M224" s="225"/>
      <c r="N224" s="224"/>
      <c r="O224" s="218"/>
      <c r="P224" s="217"/>
      <c r="Q224" s="219"/>
      <c r="R224" s="219"/>
      <c r="S224" s="219"/>
      <c r="T224" s="219"/>
      <c r="U224" s="219"/>
      <c r="V224" s="219"/>
      <c r="W224" s="218"/>
      <c r="X224" s="217">
        <f>SUM(X215:X223)</f>
        <v>0</v>
      </c>
      <c r="Z224" s="227"/>
      <c r="AA224" s="226"/>
      <c r="AB224" s="226"/>
      <c r="AC224" s="226"/>
      <c r="AD224" s="225"/>
      <c r="AE224" s="224"/>
      <c r="AF224" s="218"/>
      <c r="AG224" s="217"/>
      <c r="AH224" s="219"/>
      <c r="AI224" s="219"/>
      <c r="AJ224" s="219"/>
      <c r="AK224" s="219"/>
      <c r="AL224" s="219"/>
      <c r="AM224" s="219"/>
      <c r="AN224" s="218"/>
      <c r="AO224" s="217">
        <f>SUM(AO215:AO223)</f>
        <v>0</v>
      </c>
      <c r="AQ224" s="227"/>
      <c r="AR224" s="226"/>
      <c r="AS224" s="226"/>
      <c r="AT224" s="226"/>
      <c r="AU224" s="226"/>
      <c r="AV224" s="223"/>
      <c r="AW224" s="218"/>
      <c r="AX224" s="217"/>
      <c r="AY224" s="219"/>
      <c r="AZ224" s="219"/>
      <c r="BA224" s="219"/>
      <c r="BB224" s="219"/>
      <c r="BC224" s="219"/>
      <c r="BD224" s="219"/>
      <c r="BE224" s="218"/>
      <c r="BF224" s="217"/>
      <c r="BH224" s="222"/>
      <c r="BI224" s="221"/>
      <c r="BJ224" s="221"/>
      <c r="BK224" s="221"/>
      <c r="BL224" s="221"/>
      <c r="BM224" s="220"/>
      <c r="BN224" s="218"/>
      <c r="BO224" s="217">
        <f>SUM(BO215:BO223)</f>
        <v>0</v>
      </c>
      <c r="BP224" s="219"/>
      <c r="BQ224" s="219"/>
      <c r="BR224" s="219"/>
      <c r="BS224" s="219"/>
      <c r="BT224" s="219"/>
      <c r="BU224" s="219"/>
      <c r="BV224" s="218"/>
      <c r="BW224" s="217" t="e">
        <f>SUM(BW215:BW223)</f>
        <v>#REF!</v>
      </c>
      <c r="BY224" s="222"/>
      <c r="BZ224" s="221"/>
      <c r="CA224" s="221"/>
      <c r="CB224" s="221"/>
      <c r="CC224" s="221"/>
      <c r="CD224" s="220"/>
      <c r="CE224" s="218"/>
      <c r="CF224" s="217">
        <f>SUM(CF215:CF223)</f>
        <v>0</v>
      </c>
      <c r="CG224" s="219"/>
      <c r="CH224" s="219"/>
      <c r="CI224" s="219"/>
      <c r="CJ224" s="219"/>
      <c r="CK224" s="219"/>
      <c r="CL224" s="219"/>
      <c r="CM224" s="218"/>
      <c r="CN224" s="217" t="e">
        <f>SUM(CN215:CN223)</f>
        <v>#REF!</v>
      </c>
      <c r="CP224" s="6"/>
      <c r="CQ224" s="139">
        <f>SUM(CQ215:CQ223)</f>
        <v>0</v>
      </c>
      <c r="CR224" s="6"/>
      <c r="CS224" s="139" t="e">
        <f>SUM(CS215:CS223)</f>
        <v>#REF!</v>
      </c>
      <c r="CU224" s="139"/>
      <c r="CW224" s="270"/>
      <c r="CX224" s="2">
        <v>581.76608133000002</v>
      </c>
      <c r="CY224" s="2">
        <f>CX224-CQ224+CX222</f>
        <v>581.76608133000002</v>
      </c>
    </row>
    <row r="225" spans="1:102" ht="15" customHeight="1" x14ac:dyDescent="0.25">
      <c r="A225" s="288" t="s">
        <v>210</v>
      </c>
      <c r="B225" s="287" t="s">
        <v>209</v>
      </c>
      <c r="C225" s="285" t="s">
        <v>208</v>
      </c>
      <c r="D225" s="286" t="s">
        <v>207</v>
      </c>
      <c r="E225" s="285" t="s">
        <v>206</v>
      </c>
      <c r="F225" s="263">
        <f>(1.6*(1.014*1.012*1.015)*1.1/1.18)*1.028*(1.058)</f>
        <v>1.6896391063117671</v>
      </c>
      <c r="G225" s="262">
        <f>F225*$G$1</f>
        <v>0</v>
      </c>
      <c r="I225" s="182"/>
      <c r="J225" s="181"/>
      <c r="K225" s="181"/>
      <c r="L225" s="181"/>
      <c r="M225" s="180"/>
      <c r="N225" s="284">
        <f>SUM(I225:M225)</f>
        <v>0</v>
      </c>
      <c r="O225" s="276">
        <v>1</v>
      </c>
      <c r="P225" s="272"/>
      <c r="Q225" s="275"/>
      <c r="R225" s="274"/>
      <c r="S225" s="274"/>
      <c r="T225" s="274"/>
      <c r="U225" s="274"/>
      <c r="V225" s="274"/>
      <c r="W225" s="273"/>
      <c r="X225" s="272">
        <f>P225*W$225</f>
        <v>0</v>
      </c>
      <c r="Z225" s="182">
        <v>26</v>
      </c>
      <c r="AA225" s="181"/>
      <c r="AB225" s="181">
        <v>10</v>
      </c>
      <c r="AC225" s="181"/>
      <c r="AD225" s="180"/>
      <c r="AE225" s="284">
        <f>SUM(Z225:AD225)</f>
        <v>36</v>
      </c>
      <c r="AF225" s="276">
        <v>1</v>
      </c>
      <c r="AG225" s="272"/>
      <c r="AH225" s="275"/>
      <c r="AI225" s="274"/>
      <c r="AJ225" s="274"/>
      <c r="AK225" s="274"/>
      <c r="AL225" s="274"/>
      <c r="AM225" s="274"/>
      <c r="AN225" s="273"/>
      <c r="AO225" s="272">
        <f>AG225*AN$225</f>
        <v>0</v>
      </c>
      <c r="AQ225" s="182"/>
      <c r="AR225" s="283"/>
      <c r="AS225" s="181"/>
      <c r="AT225" s="181"/>
      <c r="AU225" s="282"/>
      <c r="AV225" s="281">
        <f>SUM(AQ225:AU225)</f>
        <v>0</v>
      </c>
      <c r="AW225" s="276">
        <v>1</v>
      </c>
      <c r="AX225" s="272"/>
      <c r="AY225" s="275"/>
      <c r="AZ225" s="274"/>
      <c r="BA225" s="274"/>
      <c r="BB225" s="274"/>
      <c r="BC225" s="274"/>
      <c r="BD225" s="274"/>
      <c r="BE225" s="273"/>
      <c r="BF225" s="272"/>
      <c r="BH225" s="280"/>
      <c r="BI225" s="278"/>
      <c r="BJ225" s="278"/>
      <c r="BK225" s="278"/>
      <c r="BL225" s="279"/>
      <c r="BM225" s="277">
        <f>SUM(BH225:BL225)</f>
        <v>0</v>
      </c>
      <c r="BN225" s="276">
        <v>1</v>
      </c>
      <c r="BO225" s="272">
        <f>$G225*BM225*BN225</f>
        <v>0</v>
      </c>
      <c r="BP225" s="275" t="e">
        <f>VLOOKUP(BP5,#REF!,16,FALSE)/100+1</f>
        <v>#REF!</v>
      </c>
      <c r="BQ225" s="274" t="e">
        <f>VLOOKUP(BQ5,#REF!,16,FALSE)/100+1</f>
        <v>#REF!</v>
      </c>
      <c r="BR225" s="274" t="e">
        <f>VLOOKUP(BR5,#REF!,16,FALSE)/100+1</f>
        <v>#REF!</v>
      </c>
      <c r="BS225" s="274" t="e">
        <f>VLOOKUP(BS5,#REF!,16,FALSE)/100+1</f>
        <v>#REF!</v>
      </c>
      <c r="BT225" s="274" t="e">
        <f>VLOOKUP(BT5,#REF!,16,FALSE)/100+1</f>
        <v>#REF!</v>
      </c>
      <c r="BU225" s="274" t="e">
        <f>VLOOKUP(BU5,#REF!,16,FALSE)/100+1</f>
        <v>#REF!</v>
      </c>
      <c r="BV225" s="273" t="e">
        <f>BP225*BQ225*BR225*BS225*BT225*BU225</f>
        <v>#REF!</v>
      </c>
      <c r="BW225" s="272" t="e">
        <f>BO225*BV$225</f>
        <v>#REF!</v>
      </c>
      <c r="BY225" s="179"/>
      <c r="BZ225" s="278"/>
      <c r="CA225" s="178"/>
      <c r="CB225" s="178"/>
      <c r="CC225" s="177"/>
      <c r="CD225" s="277">
        <f>SUM(BY225:CC225)</f>
        <v>0</v>
      </c>
      <c r="CE225" s="276">
        <v>1</v>
      </c>
      <c r="CF225" s="272">
        <f>$G225*CD225*CE225</f>
        <v>0</v>
      </c>
      <c r="CG225" s="275" t="e">
        <f>VLOOKUP(CG5,#REF!,16,FALSE)/100+1</f>
        <v>#REF!</v>
      </c>
      <c r="CH225" s="274" t="e">
        <f>VLOOKUP(CH5,#REF!,16,FALSE)/100+1</f>
        <v>#REF!</v>
      </c>
      <c r="CI225" s="274" t="e">
        <f>VLOOKUP(CI5,#REF!,16,FALSE)/100+1</f>
        <v>#REF!</v>
      </c>
      <c r="CJ225" s="274" t="e">
        <f>VLOOKUP(CJ5,#REF!,16,FALSE)/100+1</f>
        <v>#REF!</v>
      </c>
      <c r="CK225" s="274" t="e">
        <f>VLOOKUP(CK5,#REF!,16,FALSE)/100+1</f>
        <v>#REF!</v>
      </c>
      <c r="CL225" s="274" t="e">
        <f>VLOOKUP(CL5,#REF!,16,FALSE)/100+1</f>
        <v>#REF!</v>
      </c>
      <c r="CM225" s="273" t="e">
        <f>CG225*CH225*CI225*CJ225*CK225*CL225</f>
        <v>#REF!</v>
      </c>
      <c r="CN225" s="272" t="e">
        <f>CF225*CM$225</f>
        <v>#REF!</v>
      </c>
      <c r="CP225" s="198"/>
      <c r="CQ225" s="271">
        <f>SUMIF(I$1:CO$1,1,I225:CO225)</f>
        <v>0</v>
      </c>
      <c r="CR225" s="6"/>
      <c r="CS225" s="271" t="e">
        <f>SUMIF(I$1:CO$1,2,I225:CO225)</f>
        <v>#REF!</v>
      </c>
      <c r="CU225" s="271">
        <f>SUMIF(I$1:CO$1,3,I225:CO225)</f>
        <v>36</v>
      </c>
      <c r="CW225" s="270"/>
      <c r="CX225" s="270"/>
    </row>
    <row r="226" spans="1:102" ht="15" customHeight="1" x14ac:dyDescent="0.25">
      <c r="A226" s="245"/>
      <c r="B226" s="244"/>
      <c r="C226" s="72" t="s">
        <v>205</v>
      </c>
      <c r="D226" s="265" t="s">
        <v>204</v>
      </c>
      <c r="E226" s="72" t="s">
        <v>203</v>
      </c>
      <c r="F226" s="263">
        <f>(0.3*(1.014*1.012*1.015)*1.1/1.18)*1.028*(1.058)</f>
        <v>0.31680733243345632</v>
      </c>
      <c r="G226" s="262">
        <f>F226*$G$1</f>
        <v>0</v>
      </c>
      <c r="I226" s="172"/>
      <c r="J226" s="171"/>
      <c r="K226" s="171">
        <v>28</v>
      </c>
      <c r="L226" s="171">
        <v>15</v>
      </c>
      <c r="M226" s="170"/>
      <c r="N226" s="243">
        <f>SUM(I226:M226)</f>
        <v>43</v>
      </c>
      <c r="O226" s="183">
        <v>1</v>
      </c>
      <c r="P226" s="235"/>
      <c r="Q226" s="249"/>
      <c r="R226" s="248"/>
      <c r="S226" s="248"/>
      <c r="T226" s="248"/>
      <c r="U226" s="248"/>
      <c r="V226" s="248"/>
      <c r="W226" s="247"/>
      <c r="X226" s="235">
        <f>P226*W$225</f>
        <v>0</v>
      </c>
      <c r="Z226" s="172">
        <v>32</v>
      </c>
      <c r="AA226" s="171">
        <v>14</v>
      </c>
      <c r="AB226" s="171">
        <v>47</v>
      </c>
      <c r="AC226" s="171">
        <v>34</v>
      </c>
      <c r="AD226" s="170">
        <v>36</v>
      </c>
      <c r="AE226" s="243">
        <f>SUM(Z226:AD226)</f>
        <v>163</v>
      </c>
      <c r="AF226" s="183">
        <v>1</v>
      </c>
      <c r="AG226" s="235"/>
      <c r="AH226" s="249"/>
      <c r="AI226" s="248"/>
      <c r="AJ226" s="248"/>
      <c r="AK226" s="248"/>
      <c r="AL226" s="248"/>
      <c r="AM226" s="248"/>
      <c r="AN226" s="247"/>
      <c r="AO226" s="235">
        <f>AG226*AN$225</f>
        <v>0</v>
      </c>
      <c r="AQ226" s="172">
        <v>17</v>
      </c>
      <c r="AR226" s="261"/>
      <c r="AS226" s="171"/>
      <c r="AT226" s="171"/>
      <c r="AU226" s="242"/>
      <c r="AV226" s="241">
        <f>SUM(AQ226:AU226)</f>
        <v>17</v>
      </c>
      <c r="AW226" s="183">
        <v>1</v>
      </c>
      <c r="AX226" s="235"/>
      <c r="AY226" s="249"/>
      <c r="AZ226" s="248"/>
      <c r="BA226" s="248"/>
      <c r="BB226" s="248"/>
      <c r="BC226" s="248"/>
      <c r="BD226" s="248"/>
      <c r="BE226" s="247"/>
      <c r="BF226" s="235"/>
      <c r="BH226" s="260"/>
      <c r="BI226" s="258"/>
      <c r="BJ226" s="258"/>
      <c r="BK226" s="258"/>
      <c r="BL226" s="259"/>
      <c r="BM226" s="240">
        <f>SUM(BH226:BL226)</f>
        <v>0</v>
      </c>
      <c r="BN226" s="183">
        <v>1</v>
      </c>
      <c r="BO226" s="235">
        <f>$G226*BM226*BN226</f>
        <v>0</v>
      </c>
      <c r="BP226" s="249"/>
      <c r="BQ226" s="248"/>
      <c r="BR226" s="248"/>
      <c r="BS226" s="248"/>
      <c r="BT226" s="248"/>
      <c r="BU226" s="248"/>
      <c r="BV226" s="247"/>
      <c r="BW226" s="235" t="e">
        <f>BO226*BV$225</f>
        <v>#REF!</v>
      </c>
      <c r="BY226" s="167"/>
      <c r="BZ226" s="258"/>
      <c r="CA226" s="166"/>
      <c r="CB226" s="166"/>
      <c r="CC226" s="165"/>
      <c r="CD226" s="240">
        <f>SUM(BY226:CC226)</f>
        <v>0</v>
      </c>
      <c r="CE226" s="183">
        <v>1</v>
      </c>
      <c r="CF226" s="235">
        <f>$G226*CD226*CE226</f>
        <v>0</v>
      </c>
      <c r="CG226" s="249"/>
      <c r="CH226" s="248"/>
      <c r="CI226" s="248"/>
      <c r="CJ226" s="248"/>
      <c r="CK226" s="248"/>
      <c r="CL226" s="248"/>
      <c r="CM226" s="247"/>
      <c r="CN226" s="235" t="e">
        <f>CF226*CM$225</f>
        <v>#REF!</v>
      </c>
      <c r="CP226" s="198"/>
      <c r="CQ226" s="234">
        <f>SUMIF(I$1:CO$1,1,I226:CO226)</f>
        <v>0</v>
      </c>
      <c r="CR226" s="6"/>
      <c r="CS226" s="233" t="e">
        <f>SUMIF(I$1:CO$1,2,I226:CO226)</f>
        <v>#REF!</v>
      </c>
      <c r="CU226" s="233">
        <f>SUMIF(I$1:CO$1,3,I226:CO226)</f>
        <v>180</v>
      </c>
      <c r="CW226" s="270"/>
      <c r="CX226" s="270"/>
    </row>
    <row r="227" spans="1:102" ht="15" customHeight="1" x14ac:dyDescent="0.25">
      <c r="A227" s="245"/>
      <c r="B227" s="269"/>
      <c r="C227" s="72" t="s">
        <v>202</v>
      </c>
      <c r="D227" s="265" t="s">
        <v>201</v>
      </c>
      <c r="E227" s="72" t="s">
        <v>191</v>
      </c>
      <c r="F227" s="263">
        <f>(0.0045*(1.014*1.012*1.015)*1.1/1.18)*1.028*(1.058)</f>
        <v>4.7521099865018446E-3</v>
      </c>
      <c r="G227" s="262">
        <f>F227*$G$1</f>
        <v>0</v>
      </c>
      <c r="I227" s="172"/>
      <c r="J227" s="171"/>
      <c r="K227" s="171"/>
      <c r="L227" s="171"/>
      <c r="M227" s="170"/>
      <c r="N227" s="243">
        <f>SUM(I227:M227)</f>
        <v>0</v>
      </c>
      <c r="O227" s="183">
        <v>1</v>
      </c>
      <c r="P227" s="235"/>
      <c r="Q227" s="249"/>
      <c r="R227" s="248"/>
      <c r="S227" s="248"/>
      <c r="T227" s="248"/>
      <c r="U227" s="248"/>
      <c r="V227" s="248"/>
      <c r="W227" s="247"/>
      <c r="X227" s="235">
        <f>P227*W$225</f>
        <v>0</v>
      </c>
      <c r="Z227" s="172"/>
      <c r="AA227" s="171"/>
      <c r="AB227" s="171"/>
      <c r="AC227" s="171"/>
      <c r="AD227" s="170"/>
      <c r="AE227" s="243">
        <f>SUM(Z227:AD227)</f>
        <v>0</v>
      </c>
      <c r="AF227" s="183">
        <v>1</v>
      </c>
      <c r="AG227" s="235"/>
      <c r="AH227" s="249"/>
      <c r="AI227" s="248"/>
      <c r="AJ227" s="248"/>
      <c r="AK227" s="248"/>
      <c r="AL227" s="248"/>
      <c r="AM227" s="248"/>
      <c r="AN227" s="247"/>
      <c r="AO227" s="235">
        <f>AG227*AN$225</f>
        <v>0</v>
      </c>
      <c r="AQ227" s="172"/>
      <c r="AR227" s="261"/>
      <c r="AS227" s="171"/>
      <c r="AT227" s="171"/>
      <c r="AU227" s="242"/>
      <c r="AV227" s="241">
        <f>SUM(AQ227:AU227)</f>
        <v>0</v>
      </c>
      <c r="AW227" s="183">
        <v>1</v>
      </c>
      <c r="AX227" s="235"/>
      <c r="AY227" s="249"/>
      <c r="AZ227" s="248"/>
      <c r="BA227" s="248"/>
      <c r="BB227" s="248"/>
      <c r="BC227" s="248"/>
      <c r="BD227" s="248"/>
      <c r="BE227" s="247"/>
      <c r="BF227" s="235"/>
      <c r="BH227" s="260"/>
      <c r="BI227" s="258"/>
      <c r="BJ227" s="258"/>
      <c r="BK227" s="258"/>
      <c r="BL227" s="259"/>
      <c r="BM227" s="240">
        <f>SUM(BH227:BL227)</f>
        <v>0</v>
      </c>
      <c r="BN227" s="183">
        <v>1</v>
      </c>
      <c r="BO227" s="235">
        <f>$G227*BM227*BN227</f>
        <v>0</v>
      </c>
      <c r="BP227" s="249"/>
      <c r="BQ227" s="248"/>
      <c r="BR227" s="248"/>
      <c r="BS227" s="248"/>
      <c r="BT227" s="248"/>
      <c r="BU227" s="248"/>
      <c r="BV227" s="247"/>
      <c r="BW227" s="235" t="e">
        <f>BO227*BV$225</f>
        <v>#REF!</v>
      </c>
      <c r="BY227" s="167"/>
      <c r="BZ227" s="258"/>
      <c r="CA227" s="166"/>
      <c r="CB227" s="166"/>
      <c r="CC227" s="165"/>
      <c r="CD227" s="240">
        <f>SUM(BY227:CC227)</f>
        <v>0</v>
      </c>
      <c r="CE227" s="183">
        <v>1</v>
      </c>
      <c r="CF227" s="235">
        <f>$G227*CD227*CE227</f>
        <v>0</v>
      </c>
      <c r="CG227" s="249"/>
      <c r="CH227" s="248"/>
      <c r="CI227" s="248"/>
      <c r="CJ227" s="248"/>
      <c r="CK227" s="248"/>
      <c r="CL227" s="248"/>
      <c r="CM227" s="247"/>
      <c r="CN227" s="235" t="e">
        <f>CF227*CM$225</f>
        <v>#REF!</v>
      </c>
      <c r="CP227" s="6"/>
      <c r="CQ227" s="234">
        <f>SUMIF(I$1:CO$1,1,I227:CO227)</f>
        <v>0</v>
      </c>
      <c r="CR227" s="6"/>
      <c r="CS227" s="233" t="e">
        <f>SUMIF(I$1:CO$1,2,I227:CO227)</f>
        <v>#REF!</v>
      </c>
      <c r="CU227" s="233">
        <f>SUMIF(I$1:CO$1,3,I227:CO227)</f>
        <v>0</v>
      </c>
    </row>
    <row r="228" spans="1:102" ht="15" customHeight="1" x14ac:dyDescent="0.25">
      <c r="A228" s="245"/>
      <c r="B228" s="257" t="s">
        <v>200</v>
      </c>
      <c r="C228" s="72" t="s">
        <v>199</v>
      </c>
      <c r="D228" s="265" t="s">
        <v>198</v>
      </c>
      <c r="E228" s="72" t="s">
        <v>104</v>
      </c>
      <c r="F228" s="263">
        <f>(12*(1.014*1.012*1.015)*1.1/1.18)*1.028*(1.058)</f>
        <v>12.67229329733825</v>
      </c>
      <c r="G228" s="262">
        <f>F228*$G$1</f>
        <v>0</v>
      </c>
      <c r="I228" s="172"/>
      <c r="J228" s="171"/>
      <c r="K228" s="171"/>
      <c r="L228" s="171"/>
      <c r="M228" s="170"/>
      <c r="N228" s="243">
        <f>SUM(I228:M228)</f>
        <v>0</v>
      </c>
      <c r="O228" s="183">
        <v>1</v>
      </c>
      <c r="P228" s="235"/>
      <c r="Q228" s="249"/>
      <c r="R228" s="248"/>
      <c r="S228" s="248"/>
      <c r="T228" s="248"/>
      <c r="U228" s="248"/>
      <c r="V228" s="248"/>
      <c r="W228" s="247"/>
      <c r="X228" s="235">
        <f>P228*W$225</f>
        <v>0</v>
      </c>
      <c r="Z228" s="172"/>
      <c r="AA228" s="171"/>
      <c r="AB228" s="171"/>
      <c r="AC228" s="171"/>
      <c r="AD228" s="170"/>
      <c r="AE228" s="243">
        <f>SUM(Z228:AD228)</f>
        <v>0</v>
      </c>
      <c r="AF228" s="183">
        <v>1</v>
      </c>
      <c r="AG228" s="235"/>
      <c r="AH228" s="249"/>
      <c r="AI228" s="248"/>
      <c r="AJ228" s="248"/>
      <c r="AK228" s="248"/>
      <c r="AL228" s="248"/>
      <c r="AM228" s="248"/>
      <c r="AN228" s="247"/>
      <c r="AO228" s="235">
        <f>AG228*AN$225</f>
        <v>0</v>
      </c>
      <c r="AQ228" s="172"/>
      <c r="AR228" s="261"/>
      <c r="AS228" s="171"/>
      <c r="AT228" s="171"/>
      <c r="AU228" s="242"/>
      <c r="AV228" s="241">
        <f>SUM(AQ228:AU228)</f>
        <v>0</v>
      </c>
      <c r="AW228" s="183">
        <v>1</v>
      </c>
      <c r="AX228" s="235"/>
      <c r="AY228" s="249"/>
      <c r="AZ228" s="248"/>
      <c r="BA228" s="248"/>
      <c r="BB228" s="248"/>
      <c r="BC228" s="248"/>
      <c r="BD228" s="248"/>
      <c r="BE228" s="247"/>
      <c r="BF228" s="235"/>
      <c r="BH228" s="260"/>
      <c r="BI228" s="258"/>
      <c r="BJ228" s="258"/>
      <c r="BK228" s="258"/>
      <c r="BL228" s="259"/>
      <c r="BM228" s="240">
        <f>SUM(BH228:BL228)</f>
        <v>0</v>
      </c>
      <c r="BN228" s="183">
        <v>1</v>
      </c>
      <c r="BO228" s="235">
        <f>$G228*BM228*BN228</f>
        <v>0</v>
      </c>
      <c r="BP228" s="249"/>
      <c r="BQ228" s="248"/>
      <c r="BR228" s="248"/>
      <c r="BS228" s="248"/>
      <c r="BT228" s="248"/>
      <c r="BU228" s="248"/>
      <c r="BV228" s="247"/>
      <c r="BW228" s="235" t="e">
        <f>BO228*BV$225</f>
        <v>#REF!</v>
      </c>
      <c r="BY228" s="167"/>
      <c r="BZ228" s="258"/>
      <c r="CA228" s="166"/>
      <c r="CB228" s="166"/>
      <c r="CC228" s="165"/>
      <c r="CD228" s="240">
        <f>SUM(BY228:CC228)</f>
        <v>0</v>
      </c>
      <c r="CE228" s="183">
        <v>1</v>
      </c>
      <c r="CF228" s="235">
        <f>$G228*CD228*CE228</f>
        <v>0</v>
      </c>
      <c r="CG228" s="249"/>
      <c r="CH228" s="248"/>
      <c r="CI228" s="248"/>
      <c r="CJ228" s="248"/>
      <c r="CK228" s="248"/>
      <c r="CL228" s="248"/>
      <c r="CM228" s="247"/>
      <c r="CN228" s="235" t="e">
        <f>CF228*CM$225</f>
        <v>#REF!</v>
      </c>
      <c r="CP228" s="6"/>
      <c r="CQ228" s="234">
        <f>SUMIF(I$1:CO$1,1,I228:CO228)</f>
        <v>0</v>
      </c>
      <c r="CR228" s="6"/>
      <c r="CS228" s="233" t="e">
        <f>SUMIF(I$1:CO$1,2,I228:CO228)</f>
        <v>#REF!</v>
      </c>
      <c r="CU228" s="233">
        <f>SUMIF(I$1:CO$1,3,I228:CO228)</f>
        <v>0</v>
      </c>
    </row>
    <row r="229" spans="1:102" ht="15" customHeight="1" x14ac:dyDescent="0.25">
      <c r="A229" s="245"/>
      <c r="B229" s="244"/>
      <c r="C229" s="72" t="s">
        <v>197</v>
      </c>
      <c r="D229" s="265" t="s">
        <v>196</v>
      </c>
      <c r="E229" s="72" t="s">
        <v>104</v>
      </c>
      <c r="F229" s="263">
        <f>(6*(1.014*1.012*1.015)*1.1/1.18)*1.028*(1.058)</f>
        <v>6.3361466486691249</v>
      </c>
      <c r="G229" s="262">
        <f>F229*$G$1</f>
        <v>0</v>
      </c>
      <c r="I229" s="172"/>
      <c r="J229" s="171">
        <v>1.2611238853946662</v>
      </c>
      <c r="K229" s="171">
        <v>1.6423195795485135</v>
      </c>
      <c r="L229" s="171"/>
      <c r="M229" s="170">
        <v>1.3641517675124384</v>
      </c>
      <c r="N229" s="243">
        <f>SUM(I229:M229)</f>
        <v>4.2675952324556183</v>
      </c>
      <c r="O229" s="183">
        <v>1</v>
      </c>
      <c r="P229" s="235"/>
      <c r="Q229" s="249"/>
      <c r="R229" s="248"/>
      <c r="S229" s="248"/>
      <c r="T229" s="248"/>
      <c r="U229" s="248"/>
      <c r="V229" s="248"/>
      <c r="W229" s="247"/>
      <c r="X229" s="235">
        <f>P229*W$225</f>
        <v>0</v>
      </c>
      <c r="Z229" s="172"/>
      <c r="AA229" s="171">
        <v>2.3798661372787677</v>
      </c>
      <c r="AB229" s="171"/>
      <c r="AC229" s="171">
        <v>2.7159643382961485</v>
      </c>
      <c r="AD229" s="170"/>
      <c r="AE229" s="243">
        <f>SUM(Z229:AD229)</f>
        <v>5.0958304755749158</v>
      </c>
      <c r="AF229" s="183">
        <v>1</v>
      </c>
      <c r="AG229" s="235"/>
      <c r="AH229" s="249"/>
      <c r="AI229" s="248"/>
      <c r="AJ229" s="248"/>
      <c r="AK229" s="248"/>
      <c r="AL229" s="248"/>
      <c r="AM229" s="248"/>
      <c r="AN229" s="247"/>
      <c r="AO229" s="235">
        <f>AG229*AN$225</f>
        <v>0</v>
      </c>
      <c r="AQ229" s="172">
        <v>3.293080557783914</v>
      </c>
      <c r="AR229" s="261"/>
      <c r="AS229" s="171"/>
      <c r="AT229" s="171"/>
      <c r="AU229" s="242"/>
      <c r="AV229" s="241">
        <f>SUM(AQ229:AU229)</f>
        <v>3.293080557783914</v>
      </c>
      <c r="AW229" s="183">
        <v>1</v>
      </c>
      <c r="AX229" s="235"/>
      <c r="AY229" s="249"/>
      <c r="AZ229" s="248"/>
      <c r="BA229" s="248"/>
      <c r="BB229" s="248"/>
      <c r="BC229" s="248"/>
      <c r="BD229" s="248"/>
      <c r="BE229" s="247"/>
      <c r="BF229" s="235"/>
      <c r="BH229" s="260"/>
      <c r="BI229" s="258"/>
      <c r="BJ229" s="258"/>
      <c r="BK229" s="258"/>
      <c r="BL229" s="259"/>
      <c r="BM229" s="240">
        <f>SUM(BH229:BL229)</f>
        <v>0</v>
      </c>
      <c r="BN229" s="183">
        <v>1</v>
      </c>
      <c r="BO229" s="235">
        <f>$G229*BM229*BN229</f>
        <v>0</v>
      </c>
      <c r="BP229" s="249"/>
      <c r="BQ229" s="248"/>
      <c r="BR229" s="248"/>
      <c r="BS229" s="248"/>
      <c r="BT229" s="248"/>
      <c r="BU229" s="248"/>
      <c r="BV229" s="247"/>
      <c r="BW229" s="235" t="e">
        <f>BO229*BV$225</f>
        <v>#REF!</v>
      </c>
      <c r="BY229" s="167"/>
      <c r="BZ229" s="258"/>
      <c r="CA229" s="166"/>
      <c r="CB229" s="166"/>
      <c r="CC229" s="165"/>
      <c r="CD229" s="240">
        <f>SUM(BY229:CC229)</f>
        <v>0</v>
      </c>
      <c r="CE229" s="183">
        <v>1</v>
      </c>
      <c r="CF229" s="235">
        <f>$G229*CD229*CE229</f>
        <v>0</v>
      </c>
      <c r="CG229" s="249"/>
      <c r="CH229" s="248"/>
      <c r="CI229" s="248"/>
      <c r="CJ229" s="248"/>
      <c r="CK229" s="248"/>
      <c r="CL229" s="248"/>
      <c r="CM229" s="247"/>
      <c r="CN229" s="235" t="e">
        <f>CF229*CM$225</f>
        <v>#REF!</v>
      </c>
      <c r="CP229" s="6"/>
      <c r="CQ229" s="234">
        <f>SUMIF(I$1:CO$1,1,I229:CO229)</f>
        <v>0</v>
      </c>
      <c r="CR229" s="6"/>
      <c r="CS229" s="233" t="e">
        <f>SUMIF(I$1:CO$1,2,I229:CO229)</f>
        <v>#REF!</v>
      </c>
      <c r="CU229" s="233">
        <f>SUMIF(I$1:CO$1,3,I229:CO229)</f>
        <v>8.3889110333588306</v>
      </c>
    </row>
    <row r="230" spans="1:102" ht="15" customHeight="1" x14ac:dyDescent="0.25">
      <c r="A230" s="245"/>
      <c r="B230" s="244"/>
      <c r="C230" s="72" t="s">
        <v>195</v>
      </c>
      <c r="D230" s="265" t="s">
        <v>194</v>
      </c>
      <c r="E230" s="72" t="s">
        <v>104</v>
      </c>
      <c r="F230" s="263">
        <f>(3*(1.014*1.012*1.015)*1.1/1.18)*1.028*(1.058)</f>
        <v>3.1680733243345625</v>
      </c>
      <c r="G230" s="262">
        <f>F230*$G$1</f>
        <v>0</v>
      </c>
      <c r="I230" s="172"/>
      <c r="J230" s="171"/>
      <c r="K230" s="171">
        <v>1.5518481981576793</v>
      </c>
      <c r="L230" s="171">
        <v>1.7882666213825655</v>
      </c>
      <c r="M230" s="170"/>
      <c r="N230" s="243">
        <f>SUM(I230:M230)</f>
        <v>3.3401148195402448</v>
      </c>
      <c r="O230" s="183">
        <v>1</v>
      </c>
      <c r="P230" s="235"/>
      <c r="Q230" s="249"/>
      <c r="R230" s="248"/>
      <c r="S230" s="248"/>
      <c r="T230" s="248"/>
      <c r="U230" s="248"/>
      <c r="V230" s="248"/>
      <c r="W230" s="247"/>
      <c r="X230" s="235">
        <f>P230*W$225</f>
        <v>0</v>
      </c>
      <c r="Z230" s="172">
        <v>0</v>
      </c>
      <c r="AA230" s="171">
        <v>2.3216909386227482</v>
      </c>
      <c r="AB230" s="171">
        <v>0</v>
      </c>
      <c r="AC230" s="171">
        <v>2.0100493132801973</v>
      </c>
      <c r="AD230" s="170">
        <v>0</v>
      </c>
      <c r="AE230" s="243">
        <f>SUM(Z230:AD230)</f>
        <v>4.3317402519029455</v>
      </c>
      <c r="AF230" s="183">
        <v>1</v>
      </c>
      <c r="AG230" s="235"/>
      <c r="AH230" s="249"/>
      <c r="AI230" s="248"/>
      <c r="AJ230" s="248"/>
      <c r="AK230" s="248"/>
      <c r="AL230" s="248"/>
      <c r="AM230" s="248"/>
      <c r="AN230" s="247"/>
      <c r="AO230" s="235">
        <f>AG230*AN$225</f>
        <v>0</v>
      </c>
      <c r="AQ230" s="172">
        <v>2.3703708630472855</v>
      </c>
      <c r="AR230" s="261"/>
      <c r="AS230" s="171"/>
      <c r="AT230" s="171"/>
      <c r="AU230" s="242"/>
      <c r="AV230" s="241">
        <f>SUM(AQ230:AU230)</f>
        <v>2.3703708630472855</v>
      </c>
      <c r="AW230" s="183">
        <v>1</v>
      </c>
      <c r="AX230" s="235"/>
      <c r="AY230" s="249"/>
      <c r="AZ230" s="248"/>
      <c r="BA230" s="248"/>
      <c r="BB230" s="248"/>
      <c r="BC230" s="248"/>
      <c r="BD230" s="248"/>
      <c r="BE230" s="247"/>
      <c r="BF230" s="235"/>
      <c r="BH230" s="260"/>
      <c r="BI230" s="258"/>
      <c r="BJ230" s="258"/>
      <c r="BK230" s="258"/>
      <c r="BL230" s="259"/>
      <c r="BM230" s="240">
        <f>SUM(BH230:BL230)</f>
        <v>0</v>
      </c>
      <c r="BN230" s="183">
        <v>1</v>
      </c>
      <c r="BO230" s="235">
        <f>$G230*BM230*BN230</f>
        <v>0</v>
      </c>
      <c r="BP230" s="249"/>
      <c r="BQ230" s="248"/>
      <c r="BR230" s="248"/>
      <c r="BS230" s="248"/>
      <c r="BT230" s="248"/>
      <c r="BU230" s="248"/>
      <c r="BV230" s="247"/>
      <c r="BW230" s="235" t="e">
        <f>BO230*BV$225</f>
        <v>#REF!</v>
      </c>
      <c r="BY230" s="167"/>
      <c r="BZ230" s="258"/>
      <c r="CA230" s="166"/>
      <c r="CB230" s="166"/>
      <c r="CC230" s="165"/>
      <c r="CD230" s="240">
        <f>SUM(BY230:CC230)</f>
        <v>0</v>
      </c>
      <c r="CE230" s="183">
        <v>1</v>
      </c>
      <c r="CF230" s="235">
        <f>$G230*CD230*CE230</f>
        <v>0</v>
      </c>
      <c r="CG230" s="249"/>
      <c r="CH230" s="248"/>
      <c r="CI230" s="248"/>
      <c r="CJ230" s="248"/>
      <c r="CK230" s="248"/>
      <c r="CL230" s="248"/>
      <c r="CM230" s="247"/>
      <c r="CN230" s="235" t="e">
        <f>CF230*CM$225</f>
        <v>#REF!</v>
      </c>
      <c r="CP230" s="6"/>
      <c r="CQ230" s="234">
        <f>SUMIF(I$1:CO$1,1,I230:CO230)</f>
        <v>0</v>
      </c>
      <c r="CR230" s="6"/>
      <c r="CS230" s="233" t="e">
        <f>SUMIF(I$1:CO$1,2,I230:CO230)</f>
        <v>#REF!</v>
      </c>
      <c r="CU230" s="233">
        <f>SUMIF(I$1:CO$1,3,I230:CO230)</f>
        <v>6.702111114950231</v>
      </c>
    </row>
    <row r="231" spans="1:102" ht="15" customHeight="1" x14ac:dyDescent="0.25">
      <c r="A231" s="245"/>
      <c r="B231" s="269"/>
      <c r="C231" s="72" t="s">
        <v>193</v>
      </c>
      <c r="D231" s="265" t="s">
        <v>192</v>
      </c>
      <c r="E231" s="72" t="s">
        <v>191</v>
      </c>
      <c r="F231" s="263">
        <f>(0.003*(1.014*1.012*1.015)*1.1/1.18)*1.028*(1.058)</f>
        <v>3.1680733243345627E-3</v>
      </c>
      <c r="G231" s="262">
        <f>F231*$G$1</f>
        <v>0</v>
      </c>
      <c r="I231" s="172"/>
      <c r="J231" s="171"/>
      <c r="K231" s="171"/>
      <c r="L231" s="171"/>
      <c r="M231" s="170"/>
      <c r="N231" s="243">
        <f>SUM(I231:M231)</f>
        <v>0</v>
      </c>
      <c r="O231" s="183">
        <v>1</v>
      </c>
      <c r="P231" s="235"/>
      <c r="Q231" s="249"/>
      <c r="R231" s="248"/>
      <c r="S231" s="248"/>
      <c r="T231" s="248"/>
      <c r="U231" s="248"/>
      <c r="V231" s="248"/>
      <c r="W231" s="247"/>
      <c r="X231" s="235">
        <f>P231*W$225</f>
        <v>0</v>
      </c>
      <c r="Z231" s="172"/>
      <c r="AA231" s="171"/>
      <c r="AB231" s="171"/>
      <c r="AC231" s="171"/>
      <c r="AD231" s="170"/>
      <c r="AE231" s="243">
        <f>SUM(Z231:AD231)</f>
        <v>0</v>
      </c>
      <c r="AF231" s="183">
        <v>1</v>
      </c>
      <c r="AG231" s="235"/>
      <c r="AH231" s="249"/>
      <c r="AI231" s="248"/>
      <c r="AJ231" s="248"/>
      <c r="AK231" s="248"/>
      <c r="AL231" s="248"/>
      <c r="AM231" s="248"/>
      <c r="AN231" s="247"/>
      <c r="AO231" s="235">
        <f>AG231*AN$225</f>
        <v>0</v>
      </c>
      <c r="AQ231" s="172"/>
      <c r="AR231" s="261"/>
      <c r="AS231" s="171"/>
      <c r="AT231" s="171"/>
      <c r="AU231" s="242"/>
      <c r="AV231" s="241">
        <f>SUM(AQ231:AU231)</f>
        <v>0</v>
      </c>
      <c r="AW231" s="183">
        <v>1</v>
      </c>
      <c r="AX231" s="235"/>
      <c r="AY231" s="249"/>
      <c r="AZ231" s="248"/>
      <c r="BA231" s="248"/>
      <c r="BB231" s="248"/>
      <c r="BC231" s="248"/>
      <c r="BD231" s="248"/>
      <c r="BE231" s="247"/>
      <c r="BF231" s="235"/>
      <c r="BH231" s="260"/>
      <c r="BI231" s="258"/>
      <c r="BJ231" s="258"/>
      <c r="BK231" s="258"/>
      <c r="BL231" s="259"/>
      <c r="BM231" s="240">
        <f>SUM(BH231:BL231)</f>
        <v>0</v>
      </c>
      <c r="BN231" s="183">
        <v>1</v>
      </c>
      <c r="BO231" s="235">
        <f>$G231*BM231*BN231</f>
        <v>0</v>
      </c>
      <c r="BP231" s="249"/>
      <c r="BQ231" s="248"/>
      <c r="BR231" s="248"/>
      <c r="BS231" s="248"/>
      <c r="BT231" s="248"/>
      <c r="BU231" s="248"/>
      <c r="BV231" s="247"/>
      <c r="BW231" s="235" t="e">
        <f>BO231*BV$225</f>
        <v>#REF!</v>
      </c>
      <c r="BY231" s="167"/>
      <c r="BZ231" s="258"/>
      <c r="CA231" s="166"/>
      <c r="CB231" s="166"/>
      <c r="CC231" s="165"/>
      <c r="CD231" s="240">
        <f>SUM(BY231:CC231)</f>
        <v>0</v>
      </c>
      <c r="CE231" s="183">
        <v>1</v>
      </c>
      <c r="CF231" s="235">
        <f>$G231*CD231*CE231</f>
        <v>0</v>
      </c>
      <c r="CG231" s="249"/>
      <c r="CH231" s="248"/>
      <c r="CI231" s="248"/>
      <c r="CJ231" s="248"/>
      <c r="CK231" s="248"/>
      <c r="CL231" s="248"/>
      <c r="CM231" s="247"/>
      <c r="CN231" s="235" t="e">
        <f>CF231*CM$225</f>
        <v>#REF!</v>
      </c>
      <c r="CP231" s="6"/>
      <c r="CQ231" s="234">
        <f>SUMIF(I$1:CO$1,1,I231:CO231)</f>
        <v>0</v>
      </c>
      <c r="CR231" s="6"/>
      <c r="CS231" s="233" t="e">
        <f>SUMIF(I$1:CO$1,2,I231:CO231)</f>
        <v>#REF!</v>
      </c>
      <c r="CU231" s="233">
        <f>SUMIF(I$1:CO$1,3,I231:CO231)</f>
        <v>0</v>
      </c>
    </row>
    <row r="232" spans="1:102" ht="15" customHeight="1" x14ac:dyDescent="0.25">
      <c r="A232" s="245"/>
      <c r="B232" s="268" t="s">
        <v>190</v>
      </c>
      <c r="C232" s="72" t="s">
        <v>189</v>
      </c>
      <c r="D232" s="265" t="s">
        <v>188</v>
      </c>
      <c r="E232" s="72" t="s">
        <v>187</v>
      </c>
      <c r="F232" s="263">
        <f>(3.5*(1.014*1.012*1.015)*1.1/1.18)*1.028*(1.058)</f>
        <v>3.6960855450569898</v>
      </c>
      <c r="G232" s="262">
        <f>F232*$G$1</f>
        <v>0</v>
      </c>
      <c r="I232" s="172"/>
      <c r="J232" s="171"/>
      <c r="K232" s="171"/>
      <c r="L232" s="171"/>
      <c r="M232" s="170"/>
      <c r="N232" s="243">
        <f>SUM(I232:M232)</f>
        <v>0</v>
      </c>
      <c r="O232" s="183">
        <v>1</v>
      </c>
      <c r="P232" s="235"/>
      <c r="Q232" s="249"/>
      <c r="R232" s="248"/>
      <c r="S232" s="248"/>
      <c r="T232" s="248"/>
      <c r="U232" s="248"/>
      <c r="V232" s="248"/>
      <c r="W232" s="247"/>
      <c r="X232" s="235">
        <f>P232*W$225</f>
        <v>0</v>
      </c>
      <c r="Z232" s="172"/>
      <c r="AA232" s="171"/>
      <c r="AB232" s="171"/>
      <c r="AC232" s="171"/>
      <c r="AD232" s="170"/>
      <c r="AE232" s="243">
        <f>SUM(Z232:AD232)</f>
        <v>0</v>
      </c>
      <c r="AF232" s="183">
        <v>1</v>
      </c>
      <c r="AG232" s="235"/>
      <c r="AH232" s="249"/>
      <c r="AI232" s="248"/>
      <c r="AJ232" s="248"/>
      <c r="AK232" s="248"/>
      <c r="AL232" s="248"/>
      <c r="AM232" s="248"/>
      <c r="AN232" s="247"/>
      <c r="AO232" s="235">
        <f>AG232*AN$225</f>
        <v>0</v>
      </c>
      <c r="AQ232" s="172"/>
      <c r="AR232" s="261"/>
      <c r="AS232" s="171"/>
      <c r="AT232" s="171"/>
      <c r="AU232" s="242"/>
      <c r="AV232" s="241">
        <f>SUM(AQ232:AU232)</f>
        <v>0</v>
      </c>
      <c r="AW232" s="183">
        <v>1</v>
      </c>
      <c r="AX232" s="235"/>
      <c r="AY232" s="249"/>
      <c r="AZ232" s="248"/>
      <c r="BA232" s="248"/>
      <c r="BB232" s="248"/>
      <c r="BC232" s="248"/>
      <c r="BD232" s="248"/>
      <c r="BE232" s="247"/>
      <c r="BF232" s="235"/>
      <c r="BH232" s="260"/>
      <c r="BI232" s="258"/>
      <c r="BJ232" s="258"/>
      <c r="BK232" s="258"/>
      <c r="BL232" s="259"/>
      <c r="BM232" s="240">
        <f>SUM(BH232:BL232)</f>
        <v>0</v>
      </c>
      <c r="BN232" s="183">
        <v>1</v>
      </c>
      <c r="BO232" s="235">
        <f>$G232*BM232*BN232</f>
        <v>0</v>
      </c>
      <c r="BP232" s="249"/>
      <c r="BQ232" s="248"/>
      <c r="BR232" s="248"/>
      <c r="BS232" s="248"/>
      <c r="BT232" s="248"/>
      <c r="BU232" s="248"/>
      <c r="BV232" s="247"/>
      <c r="BW232" s="235" t="e">
        <f>BO232*BV$225</f>
        <v>#REF!</v>
      </c>
      <c r="BY232" s="167"/>
      <c r="BZ232" s="258"/>
      <c r="CA232" s="166"/>
      <c r="CB232" s="166"/>
      <c r="CC232" s="165"/>
      <c r="CD232" s="240">
        <f>SUM(BY232:CC232)</f>
        <v>0</v>
      </c>
      <c r="CE232" s="183">
        <v>1</v>
      </c>
      <c r="CF232" s="235">
        <f>$G232*CD232*CE232</f>
        <v>0</v>
      </c>
      <c r="CG232" s="249"/>
      <c r="CH232" s="248"/>
      <c r="CI232" s="248"/>
      <c r="CJ232" s="248"/>
      <c r="CK232" s="248"/>
      <c r="CL232" s="248"/>
      <c r="CM232" s="247"/>
      <c r="CN232" s="235" t="e">
        <f>CF232*CM$225</f>
        <v>#REF!</v>
      </c>
      <c r="CP232" s="6"/>
      <c r="CQ232" s="234">
        <f>SUMIF(I$1:CO$1,1,I232:CO232)</f>
        <v>0</v>
      </c>
      <c r="CR232" s="6"/>
      <c r="CS232" s="233" t="e">
        <f>SUMIF(I$1:CO$1,2,I232:CO232)</f>
        <v>#REF!</v>
      </c>
      <c r="CU232" s="233">
        <f>SUMIF(I$1:CO$1,3,I232:CO232)</f>
        <v>0</v>
      </c>
    </row>
    <row r="233" spans="1:102" ht="15" customHeight="1" x14ac:dyDescent="0.25">
      <c r="A233" s="245"/>
      <c r="B233" s="267"/>
      <c r="C233" s="72" t="s">
        <v>186</v>
      </c>
      <c r="D233" s="265" t="s">
        <v>185</v>
      </c>
      <c r="E233" s="72" t="s">
        <v>104</v>
      </c>
      <c r="F233" s="263">
        <f>(3*(1.014*1.012*1.015)*1.1/1.18)*1.028*(1.058)</f>
        <v>3.1680733243345625</v>
      </c>
      <c r="G233" s="262">
        <f>F233*$G$1</f>
        <v>0</v>
      </c>
      <c r="I233" s="172"/>
      <c r="J233" s="171"/>
      <c r="K233" s="171"/>
      <c r="L233" s="171"/>
      <c r="M233" s="170"/>
      <c r="N233" s="243">
        <f>SUM(I233:M233)</f>
        <v>0</v>
      </c>
      <c r="O233" s="183">
        <v>1</v>
      </c>
      <c r="P233" s="235"/>
      <c r="Q233" s="249"/>
      <c r="R233" s="248"/>
      <c r="S233" s="248"/>
      <c r="T233" s="248"/>
      <c r="U233" s="248"/>
      <c r="V233" s="248"/>
      <c r="W233" s="247"/>
      <c r="X233" s="235">
        <f>P233*W$225</f>
        <v>0</v>
      </c>
      <c r="Z233" s="172"/>
      <c r="AA233" s="171"/>
      <c r="AB233" s="171"/>
      <c r="AC233" s="171"/>
      <c r="AD233" s="170"/>
      <c r="AE233" s="243">
        <f>SUM(Z233:AD233)</f>
        <v>0</v>
      </c>
      <c r="AF233" s="183">
        <v>1</v>
      </c>
      <c r="AG233" s="235"/>
      <c r="AH233" s="249"/>
      <c r="AI233" s="248"/>
      <c r="AJ233" s="248"/>
      <c r="AK233" s="248"/>
      <c r="AL233" s="248"/>
      <c r="AM233" s="248"/>
      <c r="AN233" s="247"/>
      <c r="AO233" s="235">
        <f>AG233*AN$225</f>
        <v>0</v>
      </c>
      <c r="AQ233" s="172"/>
      <c r="AR233" s="261"/>
      <c r="AS233" s="171"/>
      <c r="AT233" s="171"/>
      <c r="AU233" s="242"/>
      <c r="AV233" s="241">
        <f>SUM(AQ233:AU233)</f>
        <v>0</v>
      </c>
      <c r="AW233" s="183">
        <v>1</v>
      </c>
      <c r="AX233" s="235"/>
      <c r="AY233" s="249"/>
      <c r="AZ233" s="248"/>
      <c r="BA233" s="248"/>
      <c r="BB233" s="248"/>
      <c r="BC233" s="248"/>
      <c r="BD233" s="248"/>
      <c r="BE233" s="247"/>
      <c r="BF233" s="235"/>
      <c r="BH233" s="260"/>
      <c r="BI233" s="258"/>
      <c r="BJ233" s="258"/>
      <c r="BK233" s="258"/>
      <c r="BL233" s="259"/>
      <c r="BM233" s="240">
        <f>SUM(BH233:BL233)</f>
        <v>0</v>
      </c>
      <c r="BN233" s="183">
        <v>1</v>
      </c>
      <c r="BO233" s="235">
        <f>$G233*BM233*BN233</f>
        <v>0</v>
      </c>
      <c r="BP233" s="249"/>
      <c r="BQ233" s="248"/>
      <c r="BR233" s="248"/>
      <c r="BS233" s="248"/>
      <c r="BT233" s="248"/>
      <c r="BU233" s="248"/>
      <c r="BV233" s="247"/>
      <c r="BW233" s="235" t="e">
        <f>BO233*BV$225</f>
        <v>#REF!</v>
      </c>
      <c r="BY233" s="167"/>
      <c r="BZ233" s="258"/>
      <c r="CA233" s="166"/>
      <c r="CB233" s="166"/>
      <c r="CC233" s="165"/>
      <c r="CD233" s="240">
        <f>SUM(BY233:CC233)</f>
        <v>0</v>
      </c>
      <c r="CE233" s="183">
        <v>1</v>
      </c>
      <c r="CF233" s="235">
        <f>$G233*CD233*CE233</f>
        <v>0</v>
      </c>
      <c r="CG233" s="249"/>
      <c r="CH233" s="248"/>
      <c r="CI233" s="248"/>
      <c r="CJ233" s="248"/>
      <c r="CK233" s="248"/>
      <c r="CL233" s="248"/>
      <c r="CM233" s="247"/>
      <c r="CN233" s="235" t="e">
        <f>CF233*CM$225</f>
        <v>#REF!</v>
      </c>
      <c r="CP233" s="6"/>
      <c r="CQ233" s="234">
        <f>SUMIF(I$1:CO$1,1,I233:CO233)</f>
        <v>0</v>
      </c>
      <c r="CR233" s="6"/>
      <c r="CS233" s="233" t="e">
        <f>SUMIF(I$1:CO$1,2,I233:CO233)</f>
        <v>#REF!</v>
      </c>
      <c r="CU233" s="233">
        <f>SUMIF(I$1:CO$1,3,I233:CO233)</f>
        <v>0</v>
      </c>
    </row>
    <row r="234" spans="1:102" ht="15" customHeight="1" x14ac:dyDescent="0.25">
      <c r="A234" s="245"/>
      <c r="B234" s="267"/>
      <c r="C234" s="72" t="s">
        <v>184</v>
      </c>
      <c r="D234" s="265" t="s">
        <v>183</v>
      </c>
      <c r="E234" s="72" t="s">
        <v>182</v>
      </c>
      <c r="F234" s="263">
        <f>(0.65*(1.014*1.012*1.015)*1.1/1.18)*1.028*(1.058)</f>
        <v>0.68641588693915523</v>
      </c>
      <c r="G234" s="262">
        <f>F234*$G$1</f>
        <v>0</v>
      </c>
      <c r="I234" s="172">
        <v>4</v>
      </c>
      <c r="J234" s="171"/>
      <c r="K234" s="171"/>
      <c r="L234" s="171">
        <v>7</v>
      </c>
      <c r="M234" s="170"/>
      <c r="N234" s="243">
        <f>SUM(I234:M234)</f>
        <v>11</v>
      </c>
      <c r="O234" s="183">
        <v>1</v>
      </c>
      <c r="P234" s="235"/>
      <c r="Q234" s="249"/>
      <c r="R234" s="248"/>
      <c r="S234" s="248"/>
      <c r="T234" s="248"/>
      <c r="U234" s="248"/>
      <c r="V234" s="248"/>
      <c r="W234" s="247"/>
      <c r="X234" s="235">
        <f>P234*W$225</f>
        <v>0</v>
      </c>
      <c r="Z234" s="172">
        <v>10</v>
      </c>
      <c r="AA234" s="171"/>
      <c r="AB234" s="171">
        <v>6</v>
      </c>
      <c r="AC234" s="171"/>
      <c r="AD234" s="170">
        <v>12</v>
      </c>
      <c r="AE234" s="243">
        <f>SUM(Z234:AD234)</f>
        <v>28</v>
      </c>
      <c r="AF234" s="183">
        <v>1</v>
      </c>
      <c r="AG234" s="235"/>
      <c r="AH234" s="249"/>
      <c r="AI234" s="248"/>
      <c r="AJ234" s="248"/>
      <c r="AK234" s="248"/>
      <c r="AL234" s="248"/>
      <c r="AM234" s="248"/>
      <c r="AN234" s="247"/>
      <c r="AO234" s="235">
        <f>AG234*AN$225</f>
        <v>0</v>
      </c>
      <c r="AQ234" s="172">
        <v>1</v>
      </c>
      <c r="AR234" s="261"/>
      <c r="AS234" s="171"/>
      <c r="AT234" s="171"/>
      <c r="AU234" s="242"/>
      <c r="AV234" s="241">
        <f>SUM(AQ234:AU234)</f>
        <v>1</v>
      </c>
      <c r="AW234" s="183">
        <v>1</v>
      </c>
      <c r="AX234" s="235"/>
      <c r="AY234" s="249"/>
      <c r="AZ234" s="248"/>
      <c r="BA234" s="248"/>
      <c r="BB234" s="248"/>
      <c r="BC234" s="248"/>
      <c r="BD234" s="248"/>
      <c r="BE234" s="247"/>
      <c r="BF234" s="235"/>
      <c r="BH234" s="260"/>
      <c r="BI234" s="258"/>
      <c r="BJ234" s="258"/>
      <c r="BK234" s="258"/>
      <c r="BL234" s="259"/>
      <c r="BM234" s="240">
        <f>SUM(BH234:BL234)</f>
        <v>0</v>
      </c>
      <c r="BN234" s="183">
        <v>1</v>
      </c>
      <c r="BO234" s="235">
        <f>$G234*BM234*BN234</f>
        <v>0</v>
      </c>
      <c r="BP234" s="249"/>
      <c r="BQ234" s="248"/>
      <c r="BR234" s="248"/>
      <c r="BS234" s="248"/>
      <c r="BT234" s="248"/>
      <c r="BU234" s="248"/>
      <c r="BV234" s="247"/>
      <c r="BW234" s="235" t="e">
        <f>BO234*BV$225</f>
        <v>#REF!</v>
      </c>
      <c r="BY234" s="167"/>
      <c r="BZ234" s="258"/>
      <c r="CA234" s="166"/>
      <c r="CB234" s="166"/>
      <c r="CC234" s="165"/>
      <c r="CD234" s="240">
        <f>SUM(BY234:CC234)</f>
        <v>0</v>
      </c>
      <c r="CE234" s="183">
        <v>1</v>
      </c>
      <c r="CF234" s="235">
        <f>$G234*CD234*CE234</f>
        <v>0</v>
      </c>
      <c r="CG234" s="249"/>
      <c r="CH234" s="248"/>
      <c r="CI234" s="248"/>
      <c r="CJ234" s="248"/>
      <c r="CK234" s="248"/>
      <c r="CL234" s="248"/>
      <c r="CM234" s="247"/>
      <c r="CN234" s="235" t="e">
        <f>CF234*CM$225</f>
        <v>#REF!</v>
      </c>
      <c r="CP234" s="6"/>
      <c r="CQ234" s="234">
        <f>SUMIF(I$1:CO$1,1,I234:CO234)</f>
        <v>0</v>
      </c>
      <c r="CR234" s="6"/>
      <c r="CS234" s="233" t="e">
        <f>SUMIF(I$1:CO$1,2,I234:CO234)</f>
        <v>#REF!</v>
      </c>
      <c r="CU234" s="233">
        <f>SUMIF(I$1:CO$1,3,I234:CO234)</f>
        <v>29</v>
      </c>
    </row>
    <row r="235" spans="1:102" ht="15" customHeight="1" x14ac:dyDescent="0.25">
      <c r="A235" s="245"/>
      <c r="B235" s="266"/>
      <c r="C235" s="72" t="s">
        <v>181</v>
      </c>
      <c r="D235" s="265" t="s">
        <v>180</v>
      </c>
      <c r="E235" s="264" t="s">
        <v>179</v>
      </c>
      <c r="F235" s="263">
        <f>(0.37*(1.014*1.012*1.015)*1.1/1.18)*1.028*(1.058)</f>
        <v>0.39072904333459607</v>
      </c>
      <c r="G235" s="262">
        <f>F235*$G$1</f>
        <v>0</v>
      </c>
      <c r="I235" s="172"/>
      <c r="J235" s="171"/>
      <c r="K235" s="171"/>
      <c r="L235" s="171">
        <v>11</v>
      </c>
      <c r="M235" s="170"/>
      <c r="N235" s="243">
        <f>SUM(I235:M235)</f>
        <v>11</v>
      </c>
      <c r="O235" s="183">
        <v>1</v>
      </c>
      <c r="P235" s="235"/>
      <c r="Q235" s="249"/>
      <c r="R235" s="248"/>
      <c r="S235" s="248"/>
      <c r="T235" s="248"/>
      <c r="U235" s="248"/>
      <c r="V235" s="248"/>
      <c r="W235" s="247"/>
      <c r="X235" s="235">
        <f>P235*W$225</f>
        <v>0</v>
      </c>
      <c r="Z235" s="172">
        <v>10</v>
      </c>
      <c r="AA235" s="171"/>
      <c r="AB235" s="171">
        <v>10</v>
      </c>
      <c r="AC235" s="171"/>
      <c r="AD235" s="170">
        <v>6</v>
      </c>
      <c r="AE235" s="243">
        <f>SUM(Z235:AD235)</f>
        <v>26</v>
      </c>
      <c r="AF235" s="183">
        <v>1</v>
      </c>
      <c r="AG235" s="235"/>
      <c r="AH235" s="249"/>
      <c r="AI235" s="248"/>
      <c r="AJ235" s="248"/>
      <c r="AK235" s="248"/>
      <c r="AL235" s="248"/>
      <c r="AM235" s="248"/>
      <c r="AN235" s="247"/>
      <c r="AO235" s="235">
        <f>AG235*AN$225</f>
        <v>0</v>
      </c>
      <c r="AQ235" s="172"/>
      <c r="AR235" s="261"/>
      <c r="AS235" s="171"/>
      <c r="AT235" s="171"/>
      <c r="AU235" s="242"/>
      <c r="AV235" s="241">
        <f>SUM(AQ235:AU235)</f>
        <v>0</v>
      </c>
      <c r="AW235" s="183">
        <v>1</v>
      </c>
      <c r="AX235" s="235"/>
      <c r="AY235" s="249"/>
      <c r="AZ235" s="248"/>
      <c r="BA235" s="248"/>
      <c r="BB235" s="248"/>
      <c r="BC235" s="248"/>
      <c r="BD235" s="248"/>
      <c r="BE235" s="247"/>
      <c r="BF235" s="235"/>
      <c r="BH235" s="260"/>
      <c r="BI235" s="258"/>
      <c r="BJ235" s="258"/>
      <c r="BK235" s="258"/>
      <c r="BL235" s="259"/>
      <c r="BM235" s="240">
        <f>SUM(BH235:BL235)</f>
        <v>0</v>
      </c>
      <c r="BN235" s="183">
        <v>1</v>
      </c>
      <c r="BO235" s="235">
        <f>$G235*BM235*BN235</f>
        <v>0</v>
      </c>
      <c r="BP235" s="249"/>
      <c r="BQ235" s="248"/>
      <c r="BR235" s="248"/>
      <c r="BS235" s="248"/>
      <c r="BT235" s="248"/>
      <c r="BU235" s="248"/>
      <c r="BV235" s="247"/>
      <c r="BW235" s="235" t="e">
        <f>BO235*BV$225</f>
        <v>#REF!</v>
      </c>
      <c r="BY235" s="167"/>
      <c r="BZ235" s="258"/>
      <c r="CA235" s="166"/>
      <c r="CB235" s="166"/>
      <c r="CC235" s="165"/>
      <c r="CD235" s="240">
        <f>SUM(BY235:CC235)</f>
        <v>0</v>
      </c>
      <c r="CE235" s="183">
        <v>1</v>
      </c>
      <c r="CF235" s="235">
        <f>$G235*CD235*CE235</f>
        <v>0</v>
      </c>
      <c r="CG235" s="249"/>
      <c r="CH235" s="248"/>
      <c r="CI235" s="248"/>
      <c r="CJ235" s="248"/>
      <c r="CK235" s="248"/>
      <c r="CL235" s="248"/>
      <c r="CM235" s="247"/>
      <c r="CN235" s="235" t="e">
        <f>CF235*CM$225</f>
        <v>#REF!</v>
      </c>
      <c r="CP235" s="6"/>
      <c r="CQ235" s="234">
        <f>SUMIF(I$1:CO$1,1,I235:CO235)</f>
        <v>0</v>
      </c>
      <c r="CR235" s="6"/>
      <c r="CS235" s="233" t="e">
        <f>SUMIF(I$1:CO$1,2,I235:CO235)</f>
        <v>#REF!</v>
      </c>
      <c r="CU235" s="233">
        <f>SUMIF(I$1:CO$1,3,I235:CO235)</f>
        <v>26</v>
      </c>
    </row>
    <row r="236" spans="1:102" ht="15" customHeight="1" x14ac:dyDescent="0.25">
      <c r="A236" s="245"/>
      <c r="B236" s="257" t="s">
        <v>178</v>
      </c>
      <c r="C236" s="72" t="s">
        <v>11</v>
      </c>
      <c r="D236" s="255" t="s">
        <v>177</v>
      </c>
      <c r="E236" s="254" t="s">
        <v>106</v>
      </c>
      <c r="F236" s="253"/>
      <c r="G236" s="253">
        <f>F236</f>
        <v>0</v>
      </c>
      <c r="I236" s="251"/>
      <c r="J236" s="256"/>
      <c r="K236" s="171">
        <v>2.1220577</v>
      </c>
      <c r="L236" s="171">
        <v>1.27762131</v>
      </c>
      <c r="M236" s="170">
        <v>1.50243879</v>
      </c>
      <c r="N236" s="243">
        <f>SUM(I236:M236)</f>
        <v>4.9021178000000001</v>
      </c>
      <c r="O236" s="183">
        <v>1</v>
      </c>
      <c r="P236" s="235"/>
      <c r="Q236" s="249"/>
      <c r="R236" s="248"/>
      <c r="S236" s="248"/>
      <c r="T236" s="248"/>
      <c r="U236" s="248"/>
      <c r="V236" s="248"/>
      <c r="W236" s="247"/>
      <c r="X236" s="235">
        <f>P236*W$225</f>
        <v>0</v>
      </c>
      <c r="Z236" s="172">
        <v>2.0880609099999998</v>
      </c>
      <c r="AA236" s="171">
        <v>2.7252265699999998</v>
      </c>
      <c r="AB236" s="171">
        <v>1.53972559</v>
      </c>
      <c r="AC236" s="171">
        <v>3.4490291900000001</v>
      </c>
      <c r="AD236" s="170">
        <v>2.19005128</v>
      </c>
      <c r="AE236" s="243">
        <f>SUM(Z236:AD236)</f>
        <v>11.992093540000001</v>
      </c>
      <c r="AF236" s="183">
        <v>1</v>
      </c>
      <c r="AG236" s="235"/>
      <c r="AH236" s="249"/>
      <c r="AI236" s="248"/>
      <c r="AJ236" s="248"/>
      <c r="AK236" s="248"/>
      <c r="AL236" s="248"/>
      <c r="AM236" s="248"/>
      <c r="AN236" s="247"/>
      <c r="AO236" s="235">
        <f>AG236*AN$225</f>
        <v>0</v>
      </c>
      <c r="AQ236" s="172">
        <v>3.4249024399999999</v>
      </c>
      <c r="AR236" s="171"/>
      <c r="AS236" s="171"/>
      <c r="AT236" s="171"/>
      <c r="AU236" s="242"/>
      <c r="AV236" s="241">
        <f>SUM(AQ236:AU236)</f>
        <v>3.4249024399999999</v>
      </c>
      <c r="AW236" s="183">
        <v>1</v>
      </c>
      <c r="AX236" s="235"/>
      <c r="AY236" s="249"/>
      <c r="AZ236" s="248"/>
      <c r="BA236" s="248"/>
      <c r="BB236" s="248"/>
      <c r="BC236" s="248"/>
      <c r="BD236" s="248"/>
      <c r="BE236" s="247"/>
      <c r="BF236" s="235"/>
      <c r="BH236" s="167"/>
      <c r="BI236" s="166"/>
      <c r="BJ236" s="166"/>
      <c r="BK236" s="166"/>
      <c r="BL236" s="165"/>
      <c r="BM236" s="240">
        <f>SUM(BH236:BL236)</f>
        <v>0</v>
      </c>
      <c r="BN236" s="183">
        <v>1</v>
      </c>
      <c r="BO236" s="235">
        <f>$G236*BM236*BN236</f>
        <v>0</v>
      </c>
      <c r="BP236" s="249"/>
      <c r="BQ236" s="248"/>
      <c r="BR236" s="248"/>
      <c r="BS236" s="248"/>
      <c r="BT236" s="248"/>
      <c r="BU236" s="248"/>
      <c r="BV236" s="247"/>
      <c r="BW236" s="235" t="e">
        <f>BO236*BV$225</f>
        <v>#REF!</v>
      </c>
      <c r="BY236" s="167"/>
      <c r="BZ236" s="166"/>
      <c r="CA236" s="166"/>
      <c r="CB236" s="166"/>
      <c r="CC236" s="165"/>
      <c r="CD236" s="240">
        <f>SUM(BY236:CC236)</f>
        <v>0</v>
      </c>
      <c r="CE236" s="183">
        <v>1</v>
      </c>
      <c r="CF236" s="235">
        <f>$G236*CD236*CE236</f>
        <v>0</v>
      </c>
      <c r="CG236" s="249"/>
      <c r="CH236" s="248"/>
      <c r="CI236" s="248"/>
      <c r="CJ236" s="248"/>
      <c r="CK236" s="248"/>
      <c r="CL236" s="248"/>
      <c r="CM236" s="247"/>
      <c r="CN236" s="235" t="e">
        <f>CF236*CM$225</f>
        <v>#REF!</v>
      </c>
      <c r="CP236" s="198"/>
      <c r="CQ236" s="234">
        <f>SUMIF(I$1:CO$1,1,I236:CO236)</f>
        <v>0</v>
      </c>
      <c r="CR236" s="6"/>
      <c r="CS236" s="233" t="e">
        <f>SUMIF(I$1:CO$1,2,I236:CO236)</f>
        <v>#REF!</v>
      </c>
      <c r="CU236" s="246"/>
    </row>
    <row r="237" spans="1:102" ht="15" customHeight="1" x14ac:dyDescent="0.25">
      <c r="A237" s="245"/>
      <c r="B237" s="244"/>
      <c r="C237" s="72" t="s">
        <v>10</v>
      </c>
      <c r="D237" s="255" t="s">
        <v>176</v>
      </c>
      <c r="E237" s="254" t="s">
        <v>106</v>
      </c>
      <c r="F237" s="253"/>
      <c r="G237" s="253">
        <f>F237</f>
        <v>0</v>
      </c>
      <c r="I237" s="251"/>
      <c r="J237" s="250"/>
      <c r="K237" s="171">
        <v>0.82776700999999997</v>
      </c>
      <c r="L237" s="171"/>
      <c r="M237" s="170"/>
      <c r="N237" s="243">
        <f>SUM(I237:M237)</f>
        <v>0.82776700999999997</v>
      </c>
      <c r="O237" s="183">
        <v>1</v>
      </c>
      <c r="P237" s="235"/>
      <c r="Q237" s="249"/>
      <c r="R237" s="248"/>
      <c r="S237" s="248"/>
      <c r="T237" s="248"/>
      <c r="U237" s="248"/>
      <c r="V237" s="248"/>
      <c r="W237" s="247"/>
      <c r="X237" s="235">
        <f>P237*W$225</f>
        <v>0</v>
      </c>
      <c r="Z237" s="172"/>
      <c r="AA237" s="171">
        <v>0.82776700999999997</v>
      </c>
      <c r="AB237" s="171"/>
      <c r="AC237" s="171">
        <f>0.82776701+0.82776701</f>
        <v>1.6555340199999999</v>
      </c>
      <c r="AD237" s="170">
        <v>0.82776700999999997</v>
      </c>
      <c r="AE237" s="243">
        <f>SUM(Z237:AD237)</f>
        <v>3.3110680399999999</v>
      </c>
      <c r="AF237" s="183">
        <v>1</v>
      </c>
      <c r="AG237" s="235"/>
      <c r="AH237" s="249"/>
      <c r="AI237" s="248"/>
      <c r="AJ237" s="248"/>
      <c r="AK237" s="248"/>
      <c r="AL237" s="248"/>
      <c r="AM237" s="248"/>
      <c r="AN237" s="247"/>
      <c r="AO237" s="235">
        <f>AG237*AN$225</f>
        <v>0</v>
      </c>
      <c r="AQ237" s="172">
        <v>0.82776700999999997</v>
      </c>
      <c r="AR237" s="171"/>
      <c r="AS237" s="171"/>
      <c r="AT237" s="171"/>
      <c r="AU237" s="242"/>
      <c r="AV237" s="241">
        <f>SUM(AQ237:AU237)</f>
        <v>0.82776700999999997</v>
      </c>
      <c r="AW237" s="183">
        <v>1</v>
      </c>
      <c r="AX237" s="235"/>
      <c r="AY237" s="249"/>
      <c r="AZ237" s="248"/>
      <c r="BA237" s="248"/>
      <c r="BB237" s="248"/>
      <c r="BC237" s="248"/>
      <c r="BD237" s="248"/>
      <c r="BE237" s="247"/>
      <c r="BF237" s="235"/>
      <c r="BH237" s="167"/>
      <c r="BI237" s="166"/>
      <c r="BJ237" s="166"/>
      <c r="BK237" s="166"/>
      <c r="BL237" s="165"/>
      <c r="BM237" s="240">
        <f>SUM(BH237:BL237)</f>
        <v>0</v>
      </c>
      <c r="BN237" s="183">
        <v>1</v>
      </c>
      <c r="BO237" s="235">
        <f>$G237*BM237*BN237</f>
        <v>0</v>
      </c>
      <c r="BP237" s="249"/>
      <c r="BQ237" s="248"/>
      <c r="BR237" s="248"/>
      <c r="BS237" s="248"/>
      <c r="BT237" s="248"/>
      <c r="BU237" s="248"/>
      <c r="BV237" s="247"/>
      <c r="BW237" s="235" t="e">
        <f>BO237*BV$225</f>
        <v>#REF!</v>
      </c>
      <c r="BY237" s="167"/>
      <c r="BZ237" s="166"/>
      <c r="CA237" s="166"/>
      <c r="CB237" s="166"/>
      <c r="CC237" s="165"/>
      <c r="CD237" s="240">
        <f>SUM(BY237:CC237)</f>
        <v>0</v>
      </c>
      <c r="CE237" s="183">
        <v>1</v>
      </c>
      <c r="CF237" s="235">
        <f>$G237*CD237*CE237</f>
        <v>0</v>
      </c>
      <c r="CG237" s="249"/>
      <c r="CH237" s="248"/>
      <c r="CI237" s="248"/>
      <c r="CJ237" s="248"/>
      <c r="CK237" s="248"/>
      <c r="CL237" s="248"/>
      <c r="CM237" s="247"/>
      <c r="CN237" s="235" t="e">
        <f>CF237*CM$225</f>
        <v>#REF!</v>
      </c>
      <c r="CP237" s="198"/>
      <c r="CQ237" s="234">
        <f>SUMIF(I$1:CO$1,1,I237:CO237)</f>
        <v>0</v>
      </c>
      <c r="CR237" s="6"/>
      <c r="CS237" s="233" t="e">
        <f>SUMIF(I$1:CO$1,2,I237:CO237)</f>
        <v>#REF!</v>
      </c>
      <c r="CU237" s="246"/>
    </row>
    <row r="238" spans="1:102" ht="15" customHeight="1" x14ac:dyDescent="0.25">
      <c r="A238" s="245"/>
      <c r="B238" s="244"/>
      <c r="C238" s="72" t="s">
        <v>9</v>
      </c>
      <c r="D238" s="255" t="s">
        <v>175</v>
      </c>
      <c r="E238" s="254"/>
      <c r="F238" s="253"/>
      <c r="G238" s="253">
        <f>F238</f>
        <v>0</v>
      </c>
      <c r="I238" s="172"/>
      <c r="J238" s="171"/>
      <c r="K238" s="171"/>
      <c r="L238" s="171"/>
      <c r="M238" s="170"/>
      <c r="N238" s="243">
        <f>SUM(I238:M238)</f>
        <v>0</v>
      </c>
      <c r="O238" s="183">
        <v>1</v>
      </c>
      <c r="P238" s="235"/>
      <c r="Q238" s="249"/>
      <c r="R238" s="248"/>
      <c r="S238" s="248"/>
      <c r="T238" s="248"/>
      <c r="U238" s="248"/>
      <c r="V238" s="248"/>
      <c r="W238" s="247"/>
      <c r="X238" s="235">
        <f>P238*W$225</f>
        <v>0</v>
      </c>
      <c r="Z238" s="172"/>
      <c r="AA238" s="171"/>
      <c r="AB238" s="171"/>
      <c r="AC238" s="171"/>
      <c r="AD238" s="170"/>
      <c r="AE238" s="243">
        <f>SUM(Z238:AD238)</f>
        <v>0</v>
      </c>
      <c r="AF238" s="183">
        <v>1</v>
      </c>
      <c r="AG238" s="235"/>
      <c r="AH238" s="249"/>
      <c r="AI238" s="248"/>
      <c r="AJ238" s="248"/>
      <c r="AK238" s="248"/>
      <c r="AL238" s="248"/>
      <c r="AM238" s="248"/>
      <c r="AN238" s="247"/>
      <c r="AO238" s="235">
        <f>AG238*AN$225</f>
        <v>0</v>
      </c>
      <c r="AQ238" s="172"/>
      <c r="AR238" s="171"/>
      <c r="AS238" s="171"/>
      <c r="AT238" s="171"/>
      <c r="AU238" s="242"/>
      <c r="AV238" s="241">
        <f>SUM(AQ238:AU238)</f>
        <v>0</v>
      </c>
      <c r="AW238" s="183">
        <v>1</v>
      </c>
      <c r="AX238" s="235"/>
      <c r="AY238" s="249"/>
      <c r="AZ238" s="248"/>
      <c r="BA238" s="248"/>
      <c r="BB238" s="248"/>
      <c r="BC238" s="248"/>
      <c r="BD238" s="248"/>
      <c r="BE238" s="247"/>
      <c r="BF238" s="235"/>
      <c r="BH238" s="167"/>
      <c r="BI238" s="166"/>
      <c r="BJ238" s="166"/>
      <c r="BK238" s="166"/>
      <c r="BL238" s="165"/>
      <c r="BM238" s="240">
        <f>SUM(BH238:BL238)</f>
        <v>0</v>
      </c>
      <c r="BN238" s="183">
        <v>1</v>
      </c>
      <c r="BO238" s="235">
        <f>$G238*BM238*BN238</f>
        <v>0</v>
      </c>
      <c r="BP238" s="249"/>
      <c r="BQ238" s="248"/>
      <c r="BR238" s="248"/>
      <c r="BS238" s="248"/>
      <c r="BT238" s="248"/>
      <c r="BU238" s="248"/>
      <c r="BV238" s="247"/>
      <c r="BW238" s="235" t="e">
        <f>BO238*BV$225</f>
        <v>#REF!</v>
      </c>
      <c r="BY238" s="167"/>
      <c r="BZ238" s="166"/>
      <c r="CA238" s="166"/>
      <c r="CB238" s="166"/>
      <c r="CC238" s="165"/>
      <c r="CD238" s="240">
        <f>SUM(BY238:CC238)</f>
        <v>0</v>
      </c>
      <c r="CE238" s="183">
        <v>1</v>
      </c>
      <c r="CF238" s="235">
        <f>$G238*CD238*CE238</f>
        <v>0</v>
      </c>
      <c r="CG238" s="249"/>
      <c r="CH238" s="248"/>
      <c r="CI238" s="248"/>
      <c r="CJ238" s="248"/>
      <c r="CK238" s="248"/>
      <c r="CL238" s="248"/>
      <c r="CM238" s="247"/>
      <c r="CN238" s="235" t="e">
        <f>CF238*CM$225</f>
        <v>#REF!</v>
      </c>
      <c r="CP238" s="198"/>
      <c r="CQ238" s="234">
        <f>SUMIF(I$1:CO$1,1,I238:CO238)</f>
        <v>0</v>
      </c>
      <c r="CR238" s="6"/>
      <c r="CS238" s="233" t="e">
        <f>SUMIF(I$1:CO$1,2,I238:CO238)</f>
        <v>#REF!</v>
      </c>
      <c r="CU238" s="233">
        <f>SUMIF(I$1:CO$1,3,I238:CO238)</f>
        <v>0</v>
      </c>
    </row>
    <row r="239" spans="1:102" ht="15" customHeight="1" x14ac:dyDescent="0.25">
      <c r="A239" s="245"/>
      <c r="B239" s="244"/>
      <c r="C239" s="72" t="s">
        <v>8</v>
      </c>
      <c r="D239" s="252" t="s">
        <v>174</v>
      </c>
      <c r="E239" s="174" t="s">
        <v>106</v>
      </c>
      <c r="F239" s="173"/>
      <c r="G239" s="173">
        <f>F239</f>
        <v>0</v>
      </c>
      <c r="I239" s="251"/>
      <c r="J239" s="250"/>
      <c r="K239" s="171">
        <v>1.80200315</v>
      </c>
      <c r="L239" s="171"/>
      <c r="M239" s="170"/>
      <c r="N239" s="243"/>
      <c r="O239" s="239"/>
      <c r="P239" s="235"/>
      <c r="Q239" s="249"/>
      <c r="R239" s="248"/>
      <c r="S239" s="248"/>
      <c r="T239" s="248"/>
      <c r="U239" s="248"/>
      <c r="V239" s="248"/>
      <c r="W239" s="247"/>
      <c r="X239" s="235">
        <f>P239*W$225</f>
        <v>0</v>
      </c>
      <c r="Z239" s="172"/>
      <c r="AA239" s="171"/>
      <c r="AB239" s="171">
        <v>1.99441621</v>
      </c>
      <c r="AC239" s="171"/>
      <c r="AD239" s="170">
        <v>2.04778459</v>
      </c>
      <c r="AE239" s="243"/>
      <c r="AF239" s="239"/>
      <c r="AG239" s="235"/>
      <c r="AH239" s="249"/>
      <c r="AI239" s="248"/>
      <c r="AJ239" s="248"/>
      <c r="AK239" s="248"/>
      <c r="AL239" s="248"/>
      <c r="AM239" s="248"/>
      <c r="AN239" s="247"/>
      <c r="AO239" s="235">
        <f>AG239*AN$225</f>
        <v>0</v>
      </c>
      <c r="AQ239" s="172"/>
      <c r="AR239" s="171"/>
      <c r="AS239" s="171"/>
      <c r="AT239" s="171"/>
      <c r="AU239" s="242"/>
      <c r="AV239" s="241"/>
      <c r="AW239" s="239"/>
      <c r="AX239" s="235"/>
      <c r="AY239" s="249"/>
      <c r="AZ239" s="248"/>
      <c r="BA239" s="248"/>
      <c r="BB239" s="248"/>
      <c r="BC239" s="248"/>
      <c r="BD239" s="248"/>
      <c r="BE239" s="247"/>
      <c r="BF239" s="235"/>
      <c r="BH239" s="167"/>
      <c r="BI239" s="166"/>
      <c r="BJ239" s="166"/>
      <c r="BK239" s="166"/>
      <c r="BL239" s="165"/>
      <c r="BM239" s="240"/>
      <c r="BN239" s="239"/>
      <c r="BO239" s="235">
        <f>SUM(BH239:BL239)</f>
        <v>0</v>
      </c>
      <c r="BP239" s="249"/>
      <c r="BQ239" s="248"/>
      <c r="BR239" s="248"/>
      <c r="BS239" s="248"/>
      <c r="BT239" s="248"/>
      <c r="BU239" s="248"/>
      <c r="BV239" s="247"/>
      <c r="BW239" s="235" t="e">
        <f>BO239*BV$225</f>
        <v>#REF!</v>
      </c>
      <c r="BY239" s="167"/>
      <c r="BZ239" s="166"/>
      <c r="CA239" s="166"/>
      <c r="CB239" s="166"/>
      <c r="CC239" s="165"/>
      <c r="CD239" s="240"/>
      <c r="CE239" s="239"/>
      <c r="CF239" s="235">
        <f>SUM(BY239:CC239)</f>
        <v>0</v>
      </c>
      <c r="CG239" s="249"/>
      <c r="CH239" s="248"/>
      <c r="CI239" s="248"/>
      <c r="CJ239" s="248"/>
      <c r="CK239" s="248"/>
      <c r="CL239" s="248"/>
      <c r="CM239" s="247"/>
      <c r="CN239" s="235" t="e">
        <f>CF239*CM$225</f>
        <v>#REF!</v>
      </c>
      <c r="CP239" s="198"/>
      <c r="CQ239" s="234">
        <f>SUMIF(I$1:CO$1,1,I239:CO239)</f>
        <v>0</v>
      </c>
      <c r="CR239" s="6"/>
      <c r="CS239" s="233" t="e">
        <f>SUMIF(I$1:CO$1,2,I239:CO239)</f>
        <v>#REF!</v>
      </c>
      <c r="CU239" s="246"/>
    </row>
    <row r="240" spans="1:102" ht="15" customHeight="1" x14ac:dyDescent="0.25">
      <c r="A240" s="245"/>
      <c r="B240" s="244"/>
      <c r="C240" s="72" t="s">
        <v>7</v>
      </c>
      <c r="D240" s="199" t="s">
        <v>173</v>
      </c>
      <c r="E240" s="174" t="s">
        <v>106</v>
      </c>
      <c r="F240" s="173"/>
      <c r="G240" s="173">
        <f>F240</f>
        <v>0</v>
      </c>
      <c r="I240" s="172"/>
      <c r="J240" s="171"/>
      <c r="K240" s="171"/>
      <c r="L240" s="171"/>
      <c r="M240" s="170"/>
      <c r="N240" s="243"/>
      <c r="O240" s="239"/>
      <c r="P240" s="235"/>
      <c r="Q240" s="238"/>
      <c r="R240" s="237"/>
      <c r="S240" s="237"/>
      <c r="T240" s="237"/>
      <c r="U240" s="237"/>
      <c r="V240" s="237"/>
      <c r="W240" s="236"/>
      <c r="X240" s="235">
        <f>P240*W$225</f>
        <v>0</v>
      </c>
      <c r="Z240" s="172"/>
      <c r="AA240" s="171"/>
      <c r="AB240" s="171"/>
      <c r="AC240" s="171"/>
      <c r="AD240" s="170"/>
      <c r="AE240" s="243"/>
      <c r="AF240" s="239"/>
      <c r="AG240" s="235"/>
      <c r="AH240" s="238"/>
      <c r="AI240" s="237"/>
      <c r="AJ240" s="237"/>
      <c r="AK240" s="237"/>
      <c r="AL240" s="237"/>
      <c r="AM240" s="237"/>
      <c r="AN240" s="236"/>
      <c r="AO240" s="235">
        <f>AG240*AN$225</f>
        <v>0</v>
      </c>
      <c r="AQ240" s="172"/>
      <c r="AR240" s="171"/>
      <c r="AS240" s="171"/>
      <c r="AT240" s="171"/>
      <c r="AU240" s="242"/>
      <c r="AV240" s="241"/>
      <c r="AW240" s="239"/>
      <c r="AX240" s="235"/>
      <c r="AY240" s="238"/>
      <c r="AZ240" s="237"/>
      <c r="BA240" s="237"/>
      <c r="BB240" s="237"/>
      <c r="BC240" s="237"/>
      <c r="BD240" s="237"/>
      <c r="BE240" s="236"/>
      <c r="BF240" s="235"/>
      <c r="BH240" s="167"/>
      <c r="BI240" s="166"/>
      <c r="BJ240" s="166"/>
      <c r="BK240" s="166"/>
      <c r="BL240" s="165"/>
      <c r="BM240" s="240"/>
      <c r="BN240" s="239"/>
      <c r="BO240" s="235">
        <f>SUM(BH240:BL240)</f>
        <v>0</v>
      </c>
      <c r="BP240" s="238"/>
      <c r="BQ240" s="237"/>
      <c r="BR240" s="237"/>
      <c r="BS240" s="237"/>
      <c r="BT240" s="237"/>
      <c r="BU240" s="237"/>
      <c r="BV240" s="236"/>
      <c r="BW240" s="235" t="e">
        <f>BO240*BV$225</f>
        <v>#REF!</v>
      </c>
      <c r="BY240" s="167"/>
      <c r="BZ240" s="166"/>
      <c r="CA240" s="166"/>
      <c r="CB240" s="166"/>
      <c r="CC240" s="165"/>
      <c r="CD240" s="240"/>
      <c r="CE240" s="239"/>
      <c r="CF240" s="235">
        <f>SUM(BY240:CC240)</f>
        <v>0</v>
      </c>
      <c r="CG240" s="238"/>
      <c r="CH240" s="237"/>
      <c r="CI240" s="237"/>
      <c r="CJ240" s="237"/>
      <c r="CK240" s="237"/>
      <c r="CL240" s="237"/>
      <c r="CM240" s="236"/>
      <c r="CN240" s="235" t="e">
        <f>CF240*CM$225</f>
        <v>#REF!</v>
      </c>
      <c r="CP240" s="6"/>
      <c r="CQ240" s="234">
        <f>SUMIF(I$1:CO$1,1,I240:CO240)</f>
        <v>0</v>
      </c>
      <c r="CR240" s="6"/>
      <c r="CS240" s="233" t="e">
        <f>SUMIF(I$1:CO$1,2,I240:CO240)</f>
        <v>#REF!</v>
      </c>
      <c r="CU240" s="233">
        <f>SUMIF(I$1:CO$1,3,I240:CO240)</f>
        <v>0</v>
      </c>
    </row>
    <row r="241" spans="1:110" ht="15" customHeight="1" thickBot="1" x14ac:dyDescent="0.3">
      <c r="A241" s="232"/>
      <c r="B241" s="231"/>
      <c r="C241" s="229"/>
      <c r="D241" s="230" t="s">
        <v>148</v>
      </c>
      <c r="E241" s="229"/>
      <c r="F241" s="228"/>
      <c r="G241" s="228"/>
      <c r="I241" s="227"/>
      <c r="J241" s="226"/>
      <c r="K241" s="226"/>
      <c r="L241" s="226"/>
      <c r="M241" s="225"/>
      <c r="N241" s="224"/>
      <c r="O241" s="218"/>
      <c r="P241" s="217"/>
      <c r="Q241" s="219"/>
      <c r="R241" s="219"/>
      <c r="S241" s="219"/>
      <c r="T241" s="219"/>
      <c r="U241" s="219"/>
      <c r="V241" s="219"/>
      <c r="W241" s="218"/>
      <c r="X241" s="217">
        <f>SUM(X225:X240)</f>
        <v>0</v>
      </c>
      <c r="Z241" s="227"/>
      <c r="AA241" s="226"/>
      <c r="AB241" s="226"/>
      <c r="AC241" s="226"/>
      <c r="AD241" s="225"/>
      <c r="AE241" s="224"/>
      <c r="AF241" s="218"/>
      <c r="AG241" s="217"/>
      <c r="AH241" s="219"/>
      <c r="AI241" s="219"/>
      <c r="AJ241" s="219"/>
      <c r="AK241" s="219"/>
      <c r="AL241" s="219"/>
      <c r="AM241" s="219"/>
      <c r="AN241" s="218"/>
      <c r="AO241" s="217">
        <f>SUM(AO225:AO240)</f>
        <v>0</v>
      </c>
      <c r="AQ241" s="222"/>
      <c r="AR241" s="221"/>
      <c r="AS241" s="221"/>
      <c r="AT241" s="221"/>
      <c r="AU241" s="221"/>
      <c r="AV241" s="223"/>
      <c r="AW241" s="218"/>
      <c r="AX241" s="217"/>
      <c r="AY241" s="219"/>
      <c r="AZ241" s="219"/>
      <c r="BA241" s="219"/>
      <c r="BB241" s="219"/>
      <c r="BC241" s="219"/>
      <c r="BD241" s="219"/>
      <c r="BE241" s="218"/>
      <c r="BF241" s="217"/>
      <c r="BH241" s="222"/>
      <c r="BI241" s="221"/>
      <c r="BJ241" s="221"/>
      <c r="BK241" s="221"/>
      <c r="BL241" s="221"/>
      <c r="BM241" s="220"/>
      <c r="BN241" s="218"/>
      <c r="BO241" s="217">
        <f>SUM(BO225:BO240)</f>
        <v>0</v>
      </c>
      <c r="BP241" s="219"/>
      <c r="BQ241" s="219"/>
      <c r="BR241" s="219"/>
      <c r="BS241" s="219"/>
      <c r="BT241" s="219"/>
      <c r="BU241" s="219"/>
      <c r="BV241" s="218"/>
      <c r="BW241" s="217" t="e">
        <f>SUM(BW225:BW240)</f>
        <v>#REF!</v>
      </c>
      <c r="BY241" s="222"/>
      <c r="BZ241" s="221"/>
      <c r="CA241" s="221"/>
      <c r="CB241" s="221"/>
      <c r="CC241" s="221"/>
      <c r="CD241" s="220"/>
      <c r="CE241" s="218"/>
      <c r="CF241" s="217">
        <f>SUM(CF225:CF240)</f>
        <v>0</v>
      </c>
      <c r="CG241" s="219"/>
      <c r="CH241" s="219"/>
      <c r="CI241" s="219"/>
      <c r="CJ241" s="219"/>
      <c r="CK241" s="219"/>
      <c r="CL241" s="219"/>
      <c r="CM241" s="218"/>
      <c r="CN241" s="217" t="e">
        <f>SUM(CN225:CN240)</f>
        <v>#REF!</v>
      </c>
      <c r="CP241" s="6"/>
      <c r="CQ241" s="139">
        <f>SUM(CQ225:CQ240)</f>
        <v>0</v>
      </c>
      <c r="CR241" s="6"/>
      <c r="CS241" s="139" t="e">
        <f>SUM(CS225:CS240)</f>
        <v>#REF!</v>
      </c>
      <c r="CU241" s="139"/>
    </row>
    <row r="242" spans="1:110" ht="6.9" customHeight="1" thickBot="1" x14ac:dyDescent="0.3">
      <c r="A242" s="19"/>
      <c r="B242" s="18"/>
      <c r="C242" s="216"/>
      <c r="D242" s="18"/>
      <c r="E242" s="215"/>
      <c r="F242" s="18"/>
      <c r="G242" s="18"/>
      <c r="I242" s="21"/>
      <c r="J242" s="20"/>
      <c r="K242" s="20"/>
      <c r="L242" s="20"/>
      <c r="M242" s="61"/>
      <c r="N242" s="20"/>
      <c r="O242" s="18"/>
      <c r="P242" s="20"/>
      <c r="Q242" s="18"/>
      <c r="R242" s="18"/>
      <c r="S242" s="18"/>
      <c r="T242" s="18"/>
      <c r="U242" s="18"/>
      <c r="V242" s="18"/>
      <c r="W242" s="18"/>
      <c r="X242" s="20"/>
      <c r="Z242" s="20"/>
      <c r="AA242" s="20"/>
      <c r="AB242" s="20"/>
      <c r="AC242" s="20"/>
      <c r="AD242" s="61"/>
      <c r="AE242" s="20"/>
      <c r="AF242" s="18"/>
      <c r="AG242" s="20"/>
      <c r="AH242" s="18"/>
      <c r="AI242" s="18"/>
      <c r="AJ242" s="18"/>
      <c r="AK242" s="18"/>
      <c r="AL242" s="18"/>
      <c r="AM242" s="18"/>
      <c r="AN242" s="18"/>
      <c r="AO242" s="20"/>
      <c r="AQ242" s="18"/>
      <c r="AR242" s="18"/>
      <c r="AS242" s="18"/>
      <c r="AT242" s="18"/>
      <c r="AU242" s="18"/>
      <c r="AV242" s="214"/>
      <c r="AW242" s="18"/>
      <c r="AX242" s="20"/>
      <c r="AY242" s="18"/>
      <c r="AZ242" s="18"/>
      <c r="BA242" s="18"/>
      <c r="BB242" s="18"/>
      <c r="BC242" s="18"/>
      <c r="BD242" s="18"/>
      <c r="BE242" s="18"/>
      <c r="BF242" s="20"/>
      <c r="BH242" s="18"/>
      <c r="BI242" s="18"/>
      <c r="BJ242" s="18"/>
      <c r="BK242" s="18"/>
      <c r="BL242" s="18"/>
      <c r="BM242" s="18"/>
      <c r="BN242" s="18"/>
      <c r="BO242" s="20"/>
      <c r="BP242" s="18"/>
      <c r="BQ242" s="18"/>
      <c r="BR242" s="18"/>
      <c r="BS242" s="18"/>
      <c r="BT242" s="18"/>
      <c r="BU242" s="18"/>
      <c r="BV242" s="18"/>
      <c r="BW242" s="20"/>
      <c r="BY242" s="18"/>
      <c r="BZ242" s="18"/>
      <c r="CA242" s="18"/>
      <c r="CB242" s="18"/>
      <c r="CC242" s="18"/>
      <c r="CD242" s="18"/>
      <c r="CE242" s="18"/>
      <c r="CF242" s="20"/>
      <c r="CG242" s="18"/>
      <c r="CH242" s="18"/>
      <c r="CI242" s="18"/>
      <c r="CJ242" s="18"/>
      <c r="CK242" s="18"/>
      <c r="CL242" s="18"/>
      <c r="CM242" s="18"/>
      <c r="CN242" s="20"/>
      <c r="CP242" s="6"/>
      <c r="CQ242" s="137"/>
      <c r="CR242" s="6"/>
      <c r="CS242" s="137"/>
      <c r="CU242" s="137"/>
    </row>
    <row r="243" spans="1:110" ht="15" customHeight="1" x14ac:dyDescent="0.25">
      <c r="A243" s="213" t="s">
        <v>172</v>
      </c>
      <c r="B243" s="212" t="s">
        <v>130</v>
      </c>
      <c r="C243" s="135" t="s">
        <v>171</v>
      </c>
      <c r="D243" s="211" t="s">
        <v>170</v>
      </c>
      <c r="E243" s="135" t="s">
        <v>163</v>
      </c>
      <c r="F243" s="210">
        <f>1</f>
        <v>1</v>
      </c>
      <c r="G243" s="210">
        <f>F243</f>
        <v>1</v>
      </c>
      <c r="I243" s="182">
        <v>1.1729000000000001</v>
      </c>
      <c r="J243" s="181"/>
      <c r="K243" s="181"/>
      <c r="L243" s="181"/>
      <c r="M243" s="180"/>
      <c r="N243" s="209">
        <f>SUM(I243:M243)</f>
        <v>1.1729000000000001</v>
      </c>
      <c r="O243" s="205">
        <v>1</v>
      </c>
      <c r="P243" s="46"/>
      <c r="Q243" s="206"/>
      <c r="R243" s="206"/>
      <c r="S243" s="206"/>
      <c r="T243" s="206"/>
      <c r="U243" s="206"/>
      <c r="V243" s="206"/>
      <c r="W243" s="205">
        <v>1</v>
      </c>
      <c r="X243" s="46">
        <f>$P243*W243</f>
        <v>0</v>
      </c>
      <c r="Z243" s="182"/>
      <c r="AA243" s="181"/>
      <c r="AB243" s="181"/>
      <c r="AC243" s="181"/>
      <c r="AD243" s="180"/>
      <c r="AE243" s="209">
        <f>SUM(Z243:AD243)</f>
        <v>0</v>
      </c>
      <c r="AF243" s="205">
        <v>1</v>
      </c>
      <c r="AG243" s="46"/>
      <c r="AH243" s="206"/>
      <c r="AI243" s="206"/>
      <c r="AJ243" s="206"/>
      <c r="AK243" s="206"/>
      <c r="AL243" s="206"/>
      <c r="AM243" s="206"/>
      <c r="AN243" s="205"/>
      <c r="AO243" s="46">
        <f>AG243*AN243</f>
        <v>0</v>
      </c>
      <c r="AQ243" s="179"/>
      <c r="AR243" s="178"/>
      <c r="AS243" s="178"/>
      <c r="AT243" s="178"/>
      <c r="AU243" s="177"/>
      <c r="AV243" s="208">
        <f>SUM(AQ243:AU243)</f>
        <v>0</v>
      </c>
      <c r="AW243" s="205">
        <v>1</v>
      </c>
      <c r="AX243" s="46"/>
      <c r="AY243" s="206"/>
      <c r="AZ243" s="206"/>
      <c r="BA243" s="206"/>
      <c r="BB243" s="206"/>
      <c r="BC243" s="206"/>
      <c r="BD243" s="206"/>
      <c r="BE243" s="205"/>
      <c r="BF243" s="46"/>
      <c r="BH243" s="179"/>
      <c r="BI243" s="178"/>
      <c r="BJ243" s="178"/>
      <c r="BK243" s="178"/>
      <c r="BL243" s="177"/>
      <c r="BM243" s="207">
        <f>SUM(BH243:BL243)</f>
        <v>0</v>
      </c>
      <c r="BN243" s="205">
        <v>1</v>
      </c>
      <c r="BO243" s="46">
        <f>$G243*BM243*BN243</f>
        <v>0</v>
      </c>
      <c r="BP243" s="206"/>
      <c r="BQ243" s="206"/>
      <c r="BR243" s="206"/>
      <c r="BS243" s="206"/>
      <c r="BT243" s="206"/>
      <c r="BU243" s="206"/>
      <c r="BV243" s="205">
        <v>1</v>
      </c>
      <c r="BW243" s="46">
        <f>BO243*BV243</f>
        <v>0</v>
      </c>
      <c r="BY243" s="179"/>
      <c r="BZ243" s="178"/>
      <c r="CA243" s="178"/>
      <c r="CB243" s="178"/>
      <c r="CC243" s="177"/>
      <c r="CD243" s="207">
        <f>SUM(BY243:CC243)</f>
        <v>0</v>
      </c>
      <c r="CE243" s="205">
        <v>1</v>
      </c>
      <c r="CF243" s="46">
        <f>$G243*CD243*CE243</f>
        <v>0</v>
      </c>
      <c r="CG243" s="206"/>
      <c r="CH243" s="206"/>
      <c r="CI243" s="206"/>
      <c r="CJ243" s="206"/>
      <c r="CK243" s="206"/>
      <c r="CL243" s="206"/>
      <c r="CM243" s="205">
        <v>1</v>
      </c>
      <c r="CN243" s="46">
        <f>CF243*CM243</f>
        <v>0</v>
      </c>
      <c r="CP243" s="14"/>
      <c r="CQ243" s="82">
        <f>SUMIF(I$1:CO$1,1,I243:CO243)</f>
        <v>0</v>
      </c>
      <c r="CR243" s="6"/>
      <c r="CS243" s="82">
        <f>SUMIF(I$1:CO$1,2,I243:CO243)</f>
        <v>0</v>
      </c>
      <c r="CU243" s="82"/>
      <c r="CX243" s="126"/>
    </row>
    <row r="244" spans="1:110" ht="15" customHeight="1" x14ac:dyDescent="0.25">
      <c r="A244" s="116"/>
      <c r="B244" s="176"/>
      <c r="C244" s="132" t="s">
        <v>169</v>
      </c>
      <c r="D244" s="204" t="s">
        <v>168</v>
      </c>
      <c r="E244" s="132" t="s">
        <v>163</v>
      </c>
      <c r="F244" s="191">
        <f>25</f>
        <v>25</v>
      </c>
      <c r="G244" s="191">
        <f>F244</f>
        <v>25</v>
      </c>
      <c r="I244" s="172">
        <f>20%*53.2028</f>
        <v>10.640560000000001</v>
      </c>
      <c r="J244" s="171"/>
      <c r="K244" s="171"/>
      <c r="L244" s="171"/>
      <c r="M244" s="170"/>
      <c r="N244" s="169">
        <f>SUM(I244:M244)</f>
        <v>10.640560000000001</v>
      </c>
      <c r="O244" s="183">
        <v>1</v>
      </c>
      <c r="P244" s="161"/>
      <c r="Q244" s="163"/>
      <c r="R244" s="163"/>
      <c r="S244" s="163"/>
      <c r="T244" s="163"/>
      <c r="U244" s="163"/>
      <c r="V244" s="163"/>
      <c r="W244" s="183">
        <v>1</v>
      </c>
      <c r="X244" s="161">
        <f>$P244*W244</f>
        <v>0</v>
      </c>
      <c r="Z244" s="172"/>
      <c r="AA244" s="171"/>
      <c r="AB244" s="171"/>
      <c r="AC244" s="171"/>
      <c r="AD244" s="170"/>
      <c r="AE244" s="169">
        <f>SUM(Z244:AD244)</f>
        <v>0</v>
      </c>
      <c r="AF244" s="183">
        <v>1</v>
      </c>
      <c r="AG244" s="161"/>
      <c r="AH244" s="163"/>
      <c r="AI244" s="163"/>
      <c r="AJ244" s="163"/>
      <c r="AK244" s="163"/>
      <c r="AL244" s="163"/>
      <c r="AM244" s="163"/>
      <c r="AN244" s="183"/>
      <c r="AO244" s="161">
        <f>AG244*AN244</f>
        <v>0</v>
      </c>
      <c r="AQ244" s="167"/>
      <c r="AR244" s="166"/>
      <c r="AS244" s="166"/>
      <c r="AT244" s="166"/>
      <c r="AU244" s="165"/>
      <c r="AV244" s="168">
        <f>SUM(AQ244:AU244)</f>
        <v>0</v>
      </c>
      <c r="AW244" s="183">
        <v>1</v>
      </c>
      <c r="AX244" s="161"/>
      <c r="AY244" s="163"/>
      <c r="AZ244" s="163"/>
      <c r="BA244" s="163"/>
      <c r="BB244" s="163"/>
      <c r="BC244" s="163"/>
      <c r="BD244" s="163"/>
      <c r="BE244" s="183"/>
      <c r="BF244" s="161"/>
      <c r="BH244" s="167"/>
      <c r="BI244" s="166"/>
      <c r="BJ244" s="166"/>
      <c r="BK244" s="166"/>
      <c r="BL244" s="165"/>
      <c r="BM244" s="164">
        <f>SUM(BH244:BL244)</f>
        <v>0</v>
      </c>
      <c r="BN244" s="183">
        <v>1</v>
      </c>
      <c r="BO244" s="161">
        <f>$G244*BM244*BN244</f>
        <v>0</v>
      </c>
      <c r="BP244" s="163"/>
      <c r="BQ244" s="163"/>
      <c r="BR244" s="163"/>
      <c r="BS244" s="163"/>
      <c r="BT244" s="163"/>
      <c r="BU244" s="163"/>
      <c r="BV244" s="183">
        <v>1</v>
      </c>
      <c r="BW244" s="161">
        <f>BO244*BV244</f>
        <v>0</v>
      </c>
      <c r="BY244" s="167"/>
      <c r="BZ244" s="166"/>
      <c r="CA244" s="166"/>
      <c r="CB244" s="166"/>
      <c r="CC244" s="165"/>
      <c r="CD244" s="164">
        <f>SUM(BY244:CC244)</f>
        <v>0</v>
      </c>
      <c r="CE244" s="183">
        <v>1</v>
      </c>
      <c r="CF244" s="161">
        <f>$G244*CD244*CE244</f>
        <v>0</v>
      </c>
      <c r="CG244" s="163"/>
      <c r="CH244" s="163"/>
      <c r="CI244" s="163"/>
      <c r="CJ244" s="163"/>
      <c r="CK244" s="163"/>
      <c r="CL244" s="163"/>
      <c r="CM244" s="183">
        <v>1</v>
      </c>
      <c r="CN244" s="161">
        <f>CF244*CM244</f>
        <v>0</v>
      </c>
      <c r="CP244" s="14"/>
      <c r="CQ244" s="44">
        <f>SUMIF(I$1:CO$1,1,I244:CO244)</f>
        <v>0</v>
      </c>
      <c r="CR244" s="6"/>
      <c r="CS244" s="44">
        <f>SUMIF(I$1:CO$1,2,I244:CO244)</f>
        <v>0</v>
      </c>
      <c r="CT244" s="4"/>
      <c r="CU244" s="44"/>
      <c r="CV244" s="4"/>
      <c r="CW244" s="4"/>
      <c r="CX244" s="138"/>
    </row>
    <row r="245" spans="1:110" ht="15" customHeight="1" x14ac:dyDescent="0.25">
      <c r="A245" s="116"/>
      <c r="B245" s="176"/>
      <c r="C245" s="132" t="s">
        <v>167</v>
      </c>
      <c r="D245" s="204" t="s">
        <v>166</v>
      </c>
      <c r="E245" s="132" t="s">
        <v>163</v>
      </c>
      <c r="F245" s="191">
        <f>7.5</f>
        <v>7.5</v>
      </c>
      <c r="G245" s="191">
        <f>F245</f>
        <v>7.5</v>
      </c>
      <c r="I245" s="172">
        <f>30%*53.2028</f>
        <v>15.960840000000001</v>
      </c>
      <c r="J245" s="171"/>
      <c r="K245" s="171"/>
      <c r="L245" s="171"/>
      <c r="M245" s="170"/>
      <c r="N245" s="169">
        <f>SUM(I245:M245)</f>
        <v>15.960840000000001</v>
      </c>
      <c r="O245" s="183">
        <v>1</v>
      </c>
      <c r="P245" s="161"/>
      <c r="Q245" s="163"/>
      <c r="R245" s="163"/>
      <c r="S245" s="163"/>
      <c r="T245" s="163"/>
      <c r="U245" s="163"/>
      <c r="V245" s="163"/>
      <c r="W245" s="183">
        <v>1</v>
      </c>
      <c r="X245" s="161">
        <f>$P245*W245</f>
        <v>0</v>
      </c>
      <c r="Z245" s="172"/>
      <c r="AA245" s="171"/>
      <c r="AB245" s="171"/>
      <c r="AC245" s="171"/>
      <c r="AD245" s="170"/>
      <c r="AE245" s="169">
        <f>SUM(Z245:AD245)</f>
        <v>0</v>
      </c>
      <c r="AF245" s="183">
        <v>1</v>
      </c>
      <c r="AG245" s="161"/>
      <c r="AH245" s="163"/>
      <c r="AI245" s="163"/>
      <c r="AJ245" s="163"/>
      <c r="AK245" s="163"/>
      <c r="AL245" s="163"/>
      <c r="AM245" s="163"/>
      <c r="AN245" s="183"/>
      <c r="AO245" s="161">
        <f>AG245*AN245</f>
        <v>0</v>
      </c>
      <c r="AQ245" s="167"/>
      <c r="AR245" s="166"/>
      <c r="AS245" s="166"/>
      <c r="AT245" s="166"/>
      <c r="AU245" s="165"/>
      <c r="AV245" s="168">
        <f>SUM(AQ245:AU245)</f>
        <v>0</v>
      </c>
      <c r="AW245" s="183">
        <v>1</v>
      </c>
      <c r="AX245" s="161"/>
      <c r="AY245" s="163"/>
      <c r="AZ245" s="163"/>
      <c r="BA245" s="163"/>
      <c r="BB245" s="163"/>
      <c r="BC245" s="163"/>
      <c r="BD245" s="163"/>
      <c r="BE245" s="183"/>
      <c r="BF245" s="161"/>
      <c r="BH245" s="167"/>
      <c r="BI245" s="166"/>
      <c r="BJ245" s="166"/>
      <c r="BK245" s="166"/>
      <c r="BL245" s="165"/>
      <c r="BM245" s="164">
        <f>SUM(BH245:BL245)</f>
        <v>0</v>
      </c>
      <c r="BN245" s="183">
        <v>1</v>
      </c>
      <c r="BO245" s="161">
        <f>$G245*BM245*BN245</f>
        <v>0</v>
      </c>
      <c r="BP245" s="163"/>
      <c r="BQ245" s="163"/>
      <c r="BR245" s="163"/>
      <c r="BS245" s="163"/>
      <c r="BT245" s="163"/>
      <c r="BU245" s="163"/>
      <c r="BV245" s="183">
        <v>1</v>
      </c>
      <c r="BW245" s="161">
        <f>BO245*BV245</f>
        <v>0</v>
      </c>
      <c r="BY245" s="167"/>
      <c r="BZ245" s="166"/>
      <c r="CA245" s="166"/>
      <c r="CB245" s="166"/>
      <c r="CC245" s="165"/>
      <c r="CD245" s="164">
        <f>SUM(BY245:CC245)</f>
        <v>0</v>
      </c>
      <c r="CE245" s="183">
        <v>1</v>
      </c>
      <c r="CF245" s="161">
        <f>$G245*CD245*CE245</f>
        <v>0</v>
      </c>
      <c r="CG245" s="163"/>
      <c r="CH245" s="163"/>
      <c r="CI245" s="163"/>
      <c r="CJ245" s="163"/>
      <c r="CK245" s="163"/>
      <c r="CL245" s="163"/>
      <c r="CM245" s="183">
        <v>1</v>
      </c>
      <c r="CN245" s="161">
        <f>CF245*CM245</f>
        <v>0</v>
      </c>
      <c r="CP245" s="14"/>
      <c r="CQ245" s="44">
        <f>SUMIF(I$1:CO$1,1,I245:CO245)</f>
        <v>0</v>
      </c>
      <c r="CR245" s="6"/>
      <c r="CS245" s="44">
        <f>SUMIF(I$1:CO$1,2,I245:CO245)</f>
        <v>0</v>
      </c>
      <c r="CT245" s="4"/>
      <c r="CU245" s="44"/>
      <c r="CV245" s="4"/>
      <c r="CW245" s="4"/>
      <c r="CX245" s="138"/>
    </row>
    <row r="246" spans="1:110" s="195" customFormat="1" ht="15" customHeight="1" x14ac:dyDescent="0.25">
      <c r="A246" s="116"/>
      <c r="B246" s="176"/>
      <c r="C246" s="132" t="s">
        <v>165</v>
      </c>
      <c r="D246" s="204" t="s">
        <v>164</v>
      </c>
      <c r="E246" s="132" t="s">
        <v>163</v>
      </c>
      <c r="F246" s="191">
        <f>1.5</f>
        <v>1.5</v>
      </c>
      <c r="G246" s="191">
        <f>F246</f>
        <v>1.5</v>
      </c>
      <c r="H246" s="1"/>
      <c r="I246" s="172">
        <f>50%*53.2028</f>
        <v>26.601400000000002</v>
      </c>
      <c r="J246" s="171"/>
      <c r="K246" s="171"/>
      <c r="L246" s="171"/>
      <c r="M246" s="170"/>
      <c r="N246" s="169">
        <f>SUM(I246:M246)</f>
        <v>26.601400000000002</v>
      </c>
      <c r="O246" s="183">
        <v>1</v>
      </c>
      <c r="P246" s="161"/>
      <c r="Q246" s="163"/>
      <c r="R246" s="163"/>
      <c r="S246" s="163"/>
      <c r="T246" s="163"/>
      <c r="U246" s="163"/>
      <c r="V246" s="163"/>
      <c r="W246" s="183">
        <v>1</v>
      </c>
      <c r="X246" s="161">
        <f>$P246*W246</f>
        <v>0</v>
      </c>
      <c r="Y246" s="1"/>
      <c r="Z246" s="172"/>
      <c r="AA246" s="171"/>
      <c r="AB246" s="171"/>
      <c r="AC246" s="171"/>
      <c r="AD246" s="170"/>
      <c r="AE246" s="169">
        <f>SUM(Z246:AD246)</f>
        <v>0</v>
      </c>
      <c r="AF246" s="183">
        <v>1</v>
      </c>
      <c r="AG246" s="161"/>
      <c r="AH246" s="163"/>
      <c r="AI246" s="163"/>
      <c r="AJ246" s="163"/>
      <c r="AK246" s="163"/>
      <c r="AL246" s="163"/>
      <c r="AM246" s="163"/>
      <c r="AN246" s="183"/>
      <c r="AO246" s="161">
        <f>AG246*AN246</f>
        <v>0</v>
      </c>
      <c r="AP246" s="1"/>
      <c r="AQ246" s="167"/>
      <c r="AR246" s="166"/>
      <c r="AS246" s="166"/>
      <c r="AT246" s="166"/>
      <c r="AU246" s="165"/>
      <c r="AV246" s="168">
        <f>SUM(AQ246:AU246)</f>
        <v>0</v>
      </c>
      <c r="AW246" s="183">
        <v>1</v>
      </c>
      <c r="AX246" s="161"/>
      <c r="AY246" s="163"/>
      <c r="AZ246" s="163"/>
      <c r="BA246" s="163"/>
      <c r="BB246" s="163"/>
      <c r="BC246" s="163"/>
      <c r="BD246" s="163"/>
      <c r="BE246" s="183"/>
      <c r="BF246" s="161"/>
      <c r="BG246" s="1"/>
      <c r="BH246" s="167"/>
      <c r="BI246" s="166"/>
      <c r="BJ246" s="166"/>
      <c r="BK246" s="166"/>
      <c r="BL246" s="165"/>
      <c r="BM246" s="164">
        <f>SUM(BH246:BL246)</f>
        <v>0</v>
      </c>
      <c r="BN246" s="183">
        <v>1</v>
      </c>
      <c r="BO246" s="161">
        <f>$G246*BM246*BN246</f>
        <v>0</v>
      </c>
      <c r="BP246" s="163"/>
      <c r="BQ246" s="163"/>
      <c r="BR246" s="163"/>
      <c r="BS246" s="163"/>
      <c r="BT246" s="163"/>
      <c r="BU246" s="163"/>
      <c r="BV246" s="183">
        <v>1</v>
      </c>
      <c r="BW246" s="161">
        <f>BO246*BV246</f>
        <v>0</v>
      </c>
      <c r="BX246" s="1"/>
      <c r="BY246" s="167"/>
      <c r="BZ246" s="166"/>
      <c r="CA246" s="166"/>
      <c r="CB246" s="166"/>
      <c r="CC246" s="165"/>
      <c r="CD246" s="164">
        <f>SUM(BY246:CC246)</f>
        <v>0</v>
      </c>
      <c r="CE246" s="183">
        <v>1</v>
      </c>
      <c r="CF246" s="161">
        <f>$G246*CD246*CE246</f>
        <v>0</v>
      </c>
      <c r="CG246" s="163"/>
      <c r="CH246" s="163"/>
      <c r="CI246" s="163"/>
      <c r="CJ246" s="163"/>
      <c r="CK246" s="163"/>
      <c r="CL246" s="163"/>
      <c r="CM246" s="183">
        <v>1</v>
      </c>
      <c r="CN246" s="161">
        <f>CF246*CM246</f>
        <v>0</v>
      </c>
      <c r="CO246" s="1"/>
      <c r="CP246" s="14"/>
      <c r="CQ246" s="44">
        <f>SUMIF(I$1:CO$1,1,I246:CO246)</f>
        <v>0</v>
      </c>
      <c r="CR246" s="198"/>
      <c r="CS246" s="44">
        <f>SUMIF(I$1:CO$1,2,I246:CO246)</f>
        <v>0</v>
      </c>
      <c r="CT246" s="197"/>
      <c r="CU246" s="44"/>
      <c r="CV246" s="203"/>
      <c r="CW246" s="197"/>
      <c r="CX246" s="196"/>
    </row>
    <row r="247" spans="1:110" s="195" customFormat="1" ht="15" customHeight="1" x14ac:dyDescent="0.25">
      <c r="A247" s="116"/>
      <c r="B247" s="176"/>
      <c r="C247" s="132" t="s">
        <v>6</v>
      </c>
      <c r="D247" s="202" t="s">
        <v>162</v>
      </c>
      <c r="E247" s="201" t="s">
        <v>106</v>
      </c>
      <c r="F247" s="200"/>
      <c r="G247" s="200"/>
      <c r="H247" s="1"/>
      <c r="I247" s="172">
        <v>12</v>
      </c>
      <c r="J247" s="171"/>
      <c r="K247" s="171"/>
      <c r="L247" s="171"/>
      <c r="M247" s="170"/>
      <c r="N247" s="169"/>
      <c r="O247" s="162"/>
      <c r="P247" s="161"/>
      <c r="Q247" s="163"/>
      <c r="R247" s="163"/>
      <c r="S247" s="163"/>
      <c r="T247" s="163"/>
      <c r="U247" s="163"/>
      <c r="V247" s="163"/>
      <c r="W247" s="162">
        <v>1</v>
      </c>
      <c r="X247" s="161">
        <f>$P247*W247</f>
        <v>0</v>
      </c>
      <c r="Y247" s="1"/>
      <c r="Z247" s="172"/>
      <c r="AA247" s="171"/>
      <c r="AB247" s="171"/>
      <c r="AC247" s="171"/>
      <c r="AD247" s="170"/>
      <c r="AE247" s="169"/>
      <c r="AF247" s="162"/>
      <c r="AG247" s="161"/>
      <c r="AH247" s="163"/>
      <c r="AI247" s="163"/>
      <c r="AJ247" s="163"/>
      <c r="AK247" s="163"/>
      <c r="AL247" s="163"/>
      <c r="AM247" s="163"/>
      <c r="AN247" s="162"/>
      <c r="AO247" s="161">
        <f>AG247*AN247</f>
        <v>0</v>
      </c>
      <c r="AP247" s="1"/>
      <c r="AQ247" s="167"/>
      <c r="AR247" s="166"/>
      <c r="AS247" s="166"/>
      <c r="AT247" s="166"/>
      <c r="AU247" s="165"/>
      <c r="AV247" s="168"/>
      <c r="AW247" s="162"/>
      <c r="AX247" s="161"/>
      <c r="AY247" s="163"/>
      <c r="AZ247" s="163"/>
      <c r="BA247" s="163"/>
      <c r="BB247" s="163"/>
      <c r="BC247" s="163"/>
      <c r="BD247" s="163"/>
      <c r="BE247" s="162"/>
      <c r="BF247" s="161"/>
      <c r="BG247" s="1"/>
      <c r="BH247" s="167"/>
      <c r="BI247" s="166"/>
      <c r="BJ247" s="166"/>
      <c r="BK247" s="166"/>
      <c r="BL247" s="165"/>
      <c r="BM247" s="164"/>
      <c r="BN247" s="162"/>
      <c r="BO247" s="161">
        <f>SUM(BH247:BL247)</f>
        <v>0</v>
      </c>
      <c r="BP247" s="163"/>
      <c r="BQ247" s="163"/>
      <c r="BR247" s="163"/>
      <c r="BS247" s="163"/>
      <c r="BT247" s="163"/>
      <c r="BU247" s="163"/>
      <c r="BV247" s="162">
        <v>1</v>
      </c>
      <c r="BW247" s="161">
        <f>BO247*BV247</f>
        <v>0</v>
      </c>
      <c r="BX247" s="1"/>
      <c r="BY247" s="167"/>
      <c r="BZ247" s="166"/>
      <c r="CA247" s="166"/>
      <c r="CB247" s="166"/>
      <c r="CC247" s="165"/>
      <c r="CD247" s="164"/>
      <c r="CE247" s="162"/>
      <c r="CF247" s="161">
        <f>SUM(BY247:CC247)</f>
        <v>0</v>
      </c>
      <c r="CG247" s="163"/>
      <c r="CH247" s="163"/>
      <c r="CI247" s="163"/>
      <c r="CJ247" s="163"/>
      <c r="CK247" s="163"/>
      <c r="CL247" s="163"/>
      <c r="CM247" s="162">
        <v>1</v>
      </c>
      <c r="CN247" s="161">
        <f>CF247*CM247</f>
        <v>0</v>
      </c>
      <c r="CO247" s="1"/>
      <c r="CP247" s="14"/>
      <c r="CQ247" s="44">
        <f>SUMIF(I$1:CO$1,1,I247:CO247)</f>
        <v>0</v>
      </c>
      <c r="CR247" s="198"/>
      <c r="CS247" s="44">
        <f>SUMIF(I$1:CO$1,2,I247:CO247)</f>
        <v>0</v>
      </c>
      <c r="CT247" s="197"/>
      <c r="CU247" s="44"/>
      <c r="CV247" s="197"/>
      <c r="CW247" s="197"/>
      <c r="CX247" s="196"/>
    </row>
    <row r="248" spans="1:110" s="195" customFormat="1" ht="15" customHeight="1" x14ac:dyDescent="0.25">
      <c r="A248" s="116"/>
      <c r="B248" s="176"/>
      <c r="C248" s="132" t="s">
        <v>5</v>
      </c>
      <c r="D248" s="199" t="s">
        <v>161</v>
      </c>
      <c r="E248" s="174" t="s">
        <v>106</v>
      </c>
      <c r="F248" s="173"/>
      <c r="G248" s="173"/>
      <c r="H248" s="1"/>
      <c r="I248" s="172">
        <f>4.38</f>
        <v>4.38</v>
      </c>
      <c r="J248" s="171"/>
      <c r="K248" s="171"/>
      <c r="L248" s="171"/>
      <c r="M248" s="170"/>
      <c r="N248" s="169"/>
      <c r="O248" s="162"/>
      <c r="P248" s="161"/>
      <c r="Q248" s="163"/>
      <c r="R248" s="163"/>
      <c r="S248" s="163"/>
      <c r="T248" s="163"/>
      <c r="U248" s="163"/>
      <c r="V248" s="163"/>
      <c r="W248" s="162">
        <v>1</v>
      </c>
      <c r="X248" s="161">
        <f>$P248*W248</f>
        <v>0</v>
      </c>
      <c r="Y248" s="1"/>
      <c r="Z248" s="172"/>
      <c r="AA248" s="171"/>
      <c r="AB248" s="171"/>
      <c r="AC248" s="171"/>
      <c r="AD248" s="170"/>
      <c r="AE248" s="169"/>
      <c r="AF248" s="162"/>
      <c r="AG248" s="161"/>
      <c r="AH248" s="163"/>
      <c r="AI248" s="163"/>
      <c r="AJ248" s="163"/>
      <c r="AK248" s="163"/>
      <c r="AL248" s="163"/>
      <c r="AM248" s="163"/>
      <c r="AN248" s="162"/>
      <c r="AO248" s="161">
        <f>AG248*AN248</f>
        <v>0</v>
      </c>
      <c r="AP248" s="1"/>
      <c r="AQ248" s="167"/>
      <c r="AR248" s="166"/>
      <c r="AS248" s="166"/>
      <c r="AT248" s="166"/>
      <c r="AU248" s="165"/>
      <c r="AV248" s="168"/>
      <c r="AW248" s="162"/>
      <c r="AX248" s="161"/>
      <c r="AY248" s="163"/>
      <c r="AZ248" s="163"/>
      <c r="BA248" s="163"/>
      <c r="BB248" s="163"/>
      <c r="BC248" s="163"/>
      <c r="BD248" s="163"/>
      <c r="BE248" s="162"/>
      <c r="BF248" s="161"/>
      <c r="BG248" s="1"/>
      <c r="BH248" s="167"/>
      <c r="BI248" s="166"/>
      <c r="BJ248" s="166"/>
      <c r="BK248" s="166"/>
      <c r="BL248" s="165"/>
      <c r="BM248" s="164"/>
      <c r="BN248" s="162"/>
      <c r="BO248" s="161">
        <f>SUM(BH248:BL248)</f>
        <v>0</v>
      </c>
      <c r="BP248" s="163"/>
      <c r="BQ248" s="163"/>
      <c r="BR248" s="163"/>
      <c r="BS248" s="163"/>
      <c r="BT248" s="163"/>
      <c r="BU248" s="163"/>
      <c r="BV248" s="162">
        <v>1</v>
      </c>
      <c r="BW248" s="161">
        <f>BO248*BV248</f>
        <v>0</v>
      </c>
      <c r="BX248" s="1"/>
      <c r="BY248" s="167"/>
      <c r="BZ248" s="166"/>
      <c r="CA248" s="166"/>
      <c r="CB248" s="166"/>
      <c r="CC248" s="165"/>
      <c r="CD248" s="164"/>
      <c r="CE248" s="162"/>
      <c r="CF248" s="161">
        <f>SUM(BY248:CC248)</f>
        <v>0</v>
      </c>
      <c r="CG248" s="163"/>
      <c r="CH248" s="163"/>
      <c r="CI248" s="163"/>
      <c r="CJ248" s="163"/>
      <c r="CK248" s="163"/>
      <c r="CL248" s="163"/>
      <c r="CM248" s="162">
        <v>1</v>
      </c>
      <c r="CN248" s="161">
        <f>CF248*CM248</f>
        <v>0</v>
      </c>
      <c r="CO248" s="1"/>
      <c r="CP248" s="14"/>
      <c r="CQ248" s="44">
        <f>SUMIF(I$1:CO$1,1,I248:CO248)</f>
        <v>0</v>
      </c>
      <c r="CR248" s="198"/>
      <c r="CS248" s="44">
        <f>SUMIF(I$1:CO$1,2,I248:CO248)</f>
        <v>0</v>
      </c>
      <c r="CT248" s="197"/>
      <c r="CU248" s="44"/>
      <c r="CV248" s="197"/>
      <c r="CW248" s="197"/>
      <c r="CX248" s="196"/>
    </row>
    <row r="249" spans="1:110" s="195" customFormat="1" ht="15" customHeight="1" x14ac:dyDescent="0.25">
      <c r="A249" s="116"/>
      <c r="B249" s="176"/>
      <c r="C249" s="132" t="s">
        <v>4</v>
      </c>
      <c r="D249" s="199" t="s">
        <v>160</v>
      </c>
      <c r="E249" s="174" t="s">
        <v>106</v>
      </c>
      <c r="F249" s="173"/>
      <c r="G249" s="173"/>
      <c r="H249" s="1"/>
      <c r="I249" s="172">
        <f>48.0684</f>
        <v>48.068399999999997</v>
      </c>
      <c r="J249" s="171"/>
      <c r="K249" s="171"/>
      <c r="L249" s="171"/>
      <c r="M249" s="170"/>
      <c r="N249" s="169"/>
      <c r="O249" s="162"/>
      <c r="P249" s="161"/>
      <c r="Q249" s="163"/>
      <c r="R249" s="163"/>
      <c r="S249" s="163"/>
      <c r="T249" s="163"/>
      <c r="U249" s="163"/>
      <c r="V249" s="163"/>
      <c r="W249" s="162">
        <v>1</v>
      </c>
      <c r="X249" s="161">
        <f>$P249*W249</f>
        <v>0</v>
      </c>
      <c r="Y249" s="1"/>
      <c r="Z249" s="172"/>
      <c r="AA249" s="171"/>
      <c r="AB249" s="171"/>
      <c r="AC249" s="171"/>
      <c r="AD249" s="170"/>
      <c r="AE249" s="169"/>
      <c r="AF249" s="162"/>
      <c r="AG249" s="161"/>
      <c r="AH249" s="163"/>
      <c r="AI249" s="163"/>
      <c r="AJ249" s="163"/>
      <c r="AK249" s="163"/>
      <c r="AL249" s="163"/>
      <c r="AM249" s="163"/>
      <c r="AN249" s="162"/>
      <c r="AO249" s="161">
        <f>AG249*AN249</f>
        <v>0</v>
      </c>
      <c r="AP249" s="1"/>
      <c r="AQ249" s="167"/>
      <c r="AR249" s="166"/>
      <c r="AS249" s="166"/>
      <c r="AT249" s="166"/>
      <c r="AU249" s="165"/>
      <c r="AV249" s="168"/>
      <c r="AW249" s="162"/>
      <c r="AX249" s="161"/>
      <c r="AY249" s="163"/>
      <c r="AZ249" s="163"/>
      <c r="BA249" s="163"/>
      <c r="BB249" s="163"/>
      <c r="BC249" s="163"/>
      <c r="BD249" s="163"/>
      <c r="BE249" s="162"/>
      <c r="BF249" s="161"/>
      <c r="BG249" s="1"/>
      <c r="BH249" s="167"/>
      <c r="BI249" s="166"/>
      <c r="BJ249" s="166"/>
      <c r="BK249" s="166"/>
      <c r="BL249" s="165"/>
      <c r="BM249" s="164"/>
      <c r="BN249" s="162"/>
      <c r="BO249" s="161">
        <f>SUM(BH249:BL249)</f>
        <v>0</v>
      </c>
      <c r="BP249" s="163"/>
      <c r="BQ249" s="163"/>
      <c r="BR249" s="163"/>
      <c r="BS249" s="163"/>
      <c r="BT249" s="163"/>
      <c r="BU249" s="163"/>
      <c r="BV249" s="162">
        <v>1</v>
      </c>
      <c r="BW249" s="161">
        <f>BO249*BV249</f>
        <v>0</v>
      </c>
      <c r="BX249" s="1"/>
      <c r="BY249" s="167"/>
      <c r="BZ249" s="166"/>
      <c r="CA249" s="166"/>
      <c r="CB249" s="166"/>
      <c r="CC249" s="165"/>
      <c r="CD249" s="164"/>
      <c r="CE249" s="162"/>
      <c r="CF249" s="161">
        <f>SUM(BY249:CC249)</f>
        <v>0</v>
      </c>
      <c r="CG249" s="163"/>
      <c r="CH249" s="163"/>
      <c r="CI249" s="163"/>
      <c r="CJ249" s="163"/>
      <c r="CK249" s="163"/>
      <c r="CL249" s="163"/>
      <c r="CM249" s="162">
        <v>1</v>
      </c>
      <c r="CN249" s="161">
        <f>CF249*CM249</f>
        <v>0</v>
      </c>
      <c r="CO249" s="1"/>
      <c r="CP249" s="14"/>
      <c r="CQ249" s="44">
        <f>SUMIF(I$1:CO$1,1,I249:CO249)</f>
        <v>0</v>
      </c>
      <c r="CR249" s="198"/>
      <c r="CS249" s="44">
        <f>SUMIF(I$1:CO$1,2,I249:CO249)</f>
        <v>0</v>
      </c>
      <c r="CT249" s="197"/>
      <c r="CU249" s="44"/>
      <c r="CV249" s="197"/>
      <c r="CW249" s="197"/>
      <c r="CX249" s="196"/>
    </row>
    <row r="250" spans="1:110" ht="15" customHeight="1" x14ac:dyDescent="0.25">
      <c r="A250" s="116"/>
      <c r="B250" s="176" t="s">
        <v>159</v>
      </c>
      <c r="C250" s="132" t="s">
        <v>158</v>
      </c>
      <c r="D250" s="193" t="s">
        <v>157</v>
      </c>
      <c r="E250" s="132" t="s">
        <v>125</v>
      </c>
      <c r="F250" s="192">
        <v>8.5</v>
      </c>
      <c r="G250" s="191">
        <f>F250</f>
        <v>8.5</v>
      </c>
      <c r="I250" s="194"/>
      <c r="J250" s="100"/>
      <c r="K250" s="100"/>
      <c r="L250" s="100"/>
      <c r="M250" s="99"/>
      <c r="N250" s="100"/>
      <c r="O250" s="183">
        <v>1</v>
      </c>
      <c r="P250" s="161"/>
      <c r="Q250" s="96"/>
      <c r="R250" s="96"/>
      <c r="S250" s="96"/>
      <c r="T250" s="96"/>
      <c r="U250" s="96"/>
      <c r="V250" s="96"/>
      <c r="W250" s="183">
        <v>1</v>
      </c>
      <c r="X250" s="161">
        <f>SUM(X271)*($G250/100)*W250</f>
        <v>0</v>
      </c>
      <c r="Z250" s="101"/>
      <c r="AA250" s="100"/>
      <c r="AB250" s="100"/>
      <c r="AC250" s="100"/>
      <c r="AD250" s="99"/>
      <c r="AE250" s="100"/>
      <c r="AF250" s="183">
        <v>1</v>
      </c>
      <c r="AG250" s="161"/>
      <c r="AH250" s="96"/>
      <c r="AI250" s="96"/>
      <c r="AJ250" s="96"/>
      <c r="AK250" s="96"/>
      <c r="AL250" s="96"/>
      <c r="AM250" s="96"/>
      <c r="AN250" s="183"/>
      <c r="AO250" s="161">
        <f>SUM(AO271)*($G250/100)*AN250</f>
        <v>0</v>
      </c>
      <c r="AQ250" s="97"/>
      <c r="AR250" s="96"/>
      <c r="AS250" s="96"/>
      <c r="AT250" s="96"/>
      <c r="AU250" s="96"/>
      <c r="AV250" s="156"/>
      <c r="AW250" s="183">
        <v>1</v>
      </c>
      <c r="AX250" s="161"/>
      <c r="AY250" s="96"/>
      <c r="AZ250" s="96"/>
      <c r="BA250" s="96"/>
      <c r="BB250" s="96"/>
      <c r="BC250" s="96"/>
      <c r="BD250" s="96"/>
      <c r="BE250" s="183"/>
      <c r="BF250" s="161"/>
      <c r="BH250" s="97"/>
      <c r="BI250" s="96"/>
      <c r="BJ250" s="96"/>
      <c r="BK250" s="96"/>
      <c r="BL250" s="96"/>
      <c r="BM250" s="97"/>
      <c r="BN250" s="183">
        <v>1</v>
      </c>
      <c r="BO250" s="161">
        <f>SUM(BO271)*($G250/100)*BN250</f>
        <v>0</v>
      </c>
      <c r="BP250" s="96"/>
      <c r="BQ250" s="96"/>
      <c r="BR250" s="96"/>
      <c r="BS250" s="96"/>
      <c r="BT250" s="96"/>
      <c r="BU250" s="96"/>
      <c r="BV250" s="183">
        <v>1</v>
      </c>
      <c r="BW250" s="161" t="e">
        <f>SUM(BW271)*($G250/100)*BV250</f>
        <v>#REF!</v>
      </c>
      <c r="BY250" s="97"/>
      <c r="BZ250" s="96"/>
      <c r="CA250" s="96"/>
      <c r="CB250" s="96"/>
      <c r="CC250" s="96"/>
      <c r="CD250" s="97"/>
      <c r="CE250" s="183">
        <v>1</v>
      </c>
      <c r="CF250" s="161">
        <f>SUM(CF271)*($G250/100)*CE250</f>
        <v>0</v>
      </c>
      <c r="CG250" s="96"/>
      <c r="CH250" s="96"/>
      <c r="CI250" s="96"/>
      <c r="CJ250" s="96"/>
      <c r="CK250" s="96"/>
      <c r="CL250" s="96"/>
      <c r="CM250" s="183">
        <v>1</v>
      </c>
      <c r="CN250" s="161" t="e">
        <f>SUM(CN271)*($G250/100)*CM250</f>
        <v>#REF!</v>
      </c>
      <c r="CP250" s="14"/>
      <c r="CQ250" s="44">
        <f>SUMIF(I$1:CO$1,1,I250:CO250)</f>
        <v>0</v>
      </c>
      <c r="CR250" s="6"/>
      <c r="CS250" s="44" t="e">
        <f>SUMIF(I$1:CO$1,2,I250:CO250)</f>
        <v>#REF!</v>
      </c>
      <c r="CT250" s="100"/>
      <c r="CU250" s="44"/>
      <c r="CV250" s="4"/>
      <c r="CW250" s="4"/>
      <c r="CX250" s="138"/>
    </row>
    <row r="251" spans="1:110" ht="15" customHeight="1" x14ac:dyDescent="0.25">
      <c r="A251" s="116"/>
      <c r="B251" s="176"/>
      <c r="C251" s="132" t="s">
        <v>156</v>
      </c>
      <c r="D251" s="193" t="s">
        <v>155</v>
      </c>
      <c r="E251" s="132" t="s">
        <v>125</v>
      </c>
      <c r="F251" s="192">
        <v>1</v>
      </c>
      <c r="G251" s="191">
        <f>F251</f>
        <v>1</v>
      </c>
      <c r="I251" s="194"/>
      <c r="J251" s="100"/>
      <c r="K251" s="100"/>
      <c r="L251" s="100"/>
      <c r="M251" s="99"/>
      <c r="N251" s="100"/>
      <c r="O251" s="183">
        <v>1</v>
      </c>
      <c r="P251" s="161"/>
      <c r="Q251" s="96"/>
      <c r="R251" s="96"/>
      <c r="S251" s="96"/>
      <c r="T251" s="96"/>
      <c r="U251" s="96"/>
      <c r="V251" s="96"/>
      <c r="W251" s="183">
        <v>1</v>
      </c>
      <c r="X251" s="161">
        <f>SUM(X271)*($G251/100)*W251</f>
        <v>0</v>
      </c>
      <c r="Z251" s="101"/>
      <c r="AA251" s="100"/>
      <c r="AB251" s="100"/>
      <c r="AC251" s="100"/>
      <c r="AD251" s="99"/>
      <c r="AE251" s="100"/>
      <c r="AF251" s="183">
        <v>1</v>
      </c>
      <c r="AG251" s="161"/>
      <c r="AH251" s="96"/>
      <c r="AI251" s="96"/>
      <c r="AJ251" s="96"/>
      <c r="AK251" s="96"/>
      <c r="AL251" s="96"/>
      <c r="AM251" s="96"/>
      <c r="AN251" s="183"/>
      <c r="AO251" s="161">
        <f>SUM(AO271)*($G251/100)*AN251</f>
        <v>0</v>
      </c>
      <c r="AQ251" s="97"/>
      <c r="AR251" s="96"/>
      <c r="AS251" s="96"/>
      <c r="AT251" s="96"/>
      <c r="AU251" s="96"/>
      <c r="AV251" s="156"/>
      <c r="AW251" s="183">
        <v>1</v>
      </c>
      <c r="AX251" s="161"/>
      <c r="AY251" s="96"/>
      <c r="AZ251" s="96"/>
      <c r="BA251" s="96"/>
      <c r="BB251" s="96"/>
      <c r="BC251" s="96"/>
      <c r="BD251" s="96"/>
      <c r="BE251" s="183"/>
      <c r="BF251" s="161"/>
      <c r="BH251" s="97"/>
      <c r="BI251" s="96"/>
      <c r="BJ251" s="96"/>
      <c r="BK251" s="96"/>
      <c r="BL251" s="96"/>
      <c r="BM251" s="97"/>
      <c r="BN251" s="183">
        <v>1</v>
      </c>
      <c r="BO251" s="161">
        <f>SUM(BO271)*($G251/100)*BN251</f>
        <v>0</v>
      </c>
      <c r="BP251" s="96"/>
      <c r="BQ251" s="96"/>
      <c r="BR251" s="96"/>
      <c r="BS251" s="96"/>
      <c r="BT251" s="96"/>
      <c r="BU251" s="96"/>
      <c r="BV251" s="183">
        <v>1</v>
      </c>
      <c r="BW251" s="161" t="e">
        <f>SUM(BW271)*($G251/100)*BV251</f>
        <v>#REF!</v>
      </c>
      <c r="BY251" s="97"/>
      <c r="BZ251" s="96"/>
      <c r="CA251" s="96"/>
      <c r="CB251" s="96"/>
      <c r="CC251" s="96"/>
      <c r="CD251" s="97"/>
      <c r="CE251" s="183">
        <v>1</v>
      </c>
      <c r="CF251" s="161">
        <f>SUM(CF271)*($G251/100)*CE251</f>
        <v>0</v>
      </c>
      <c r="CG251" s="96"/>
      <c r="CH251" s="96"/>
      <c r="CI251" s="96"/>
      <c r="CJ251" s="96"/>
      <c r="CK251" s="96"/>
      <c r="CL251" s="96"/>
      <c r="CM251" s="183">
        <v>1</v>
      </c>
      <c r="CN251" s="161" t="e">
        <f>SUM(CN271)*($G251/100)*CM251</f>
        <v>#REF!</v>
      </c>
      <c r="CP251" s="14"/>
      <c r="CQ251" s="44">
        <f>SUMIF(I$1:CO$1,1,I251:CO251)</f>
        <v>0</v>
      </c>
      <c r="CR251" s="6"/>
      <c r="CS251" s="44" t="e">
        <f>SUMIF(I$1:CO$1,2,I251:CO251)</f>
        <v>#REF!</v>
      </c>
      <c r="CT251" s="100"/>
      <c r="CU251" s="44"/>
      <c r="CV251" s="4"/>
      <c r="CW251" s="4"/>
      <c r="CX251" s="138"/>
    </row>
    <row r="252" spans="1:110" ht="15" customHeight="1" x14ac:dyDescent="0.25">
      <c r="A252" s="116"/>
      <c r="B252" s="176"/>
      <c r="C252" s="132" t="s">
        <v>154</v>
      </c>
      <c r="D252" s="193" t="s">
        <v>153</v>
      </c>
      <c r="E252" s="132" t="s">
        <v>125</v>
      </c>
      <c r="F252" s="192">
        <v>1</v>
      </c>
      <c r="G252" s="191">
        <f>F252</f>
        <v>1</v>
      </c>
      <c r="I252" s="194"/>
      <c r="J252" s="100"/>
      <c r="K252" s="100"/>
      <c r="L252" s="100"/>
      <c r="M252" s="99"/>
      <c r="N252" s="100"/>
      <c r="O252" s="183">
        <v>1</v>
      </c>
      <c r="P252" s="161"/>
      <c r="Q252" s="96"/>
      <c r="R252" s="96"/>
      <c r="S252" s="96"/>
      <c r="T252" s="96"/>
      <c r="U252" s="96"/>
      <c r="V252" s="96"/>
      <c r="W252" s="183">
        <v>1</v>
      </c>
      <c r="X252" s="161">
        <f>SUM(X271)*($G252/100)*W252</f>
        <v>0</v>
      </c>
      <c r="Z252" s="101"/>
      <c r="AA252" s="100"/>
      <c r="AB252" s="100"/>
      <c r="AC252" s="100"/>
      <c r="AD252" s="99"/>
      <c r="AE252" s="100"/>
      <c r="AF252" s="183">
        <v>1</v>
      </c>
      <c r="AG252" s="161"/>
      <c r="AH252" s="96"/>
      <c r="AI252" s="96"/>
      <c r="AJ252" s="96"/>
      <c r="AK252" s="96"/>
      <c r="AL252" s="96"/>
      <c r="AM252" s="96"/>
      <c r="AN252" s="183"/>
      <c r="AO252" s="161">
        <f>SUM(AO271)*($G252/100)*AN252</f>
        <v>0</v>
      </c>
      <c r="AQ252" s="97"/>
      <c r="AR252" s="96"/>
      <c r="AS252" s="96"/>
      <c r="AT252" s="96"/>
      <c r="AU252" s="96"/>
      <c r="AV252" s="156"/>
      <c r="AW252" s="183">
        <v>1</v>
      </c>
      <c r="AX252" s="161"/>
      <c r="AY252" s="96"/>
      <c r="AZ252" s="96"/>
      <c r="BA252" s="96"/>
      <c r="BB252" s="96"/>
      <c r="BC252" s="96"/>
      <c r="BD252" s="96"/>
      <c r="BE252" s="183"/>
      <c r="BF252" s="161"/>
      <c r="BH252" s="97"/>
      <c r="BI252" s="96"/>
      <c r="BJ252" s="96"/>
      <c r="BK252" s="96"/>
      <c r="BL252" s="96"/>
      <c r="BM252" s="97"/>
      <c r="BN252" s="183">
        <v>1</v>
      </c>
      <c r="BO252" s="161">
        <f>SUM(BO271)*($G252/100)*BN252</f>
        <v>0</v>
      </c>
      <c r="BP252" s="96"/>
      <c r="BQ252" s="96"/>
      <c r="BR252" s="96"/>
      <c r="BS252" s="96"/>
      <c r="BT252" s="96"/>
      <c r="BU252" s="96"/>
      <c r="BV252" s="183">
        <v>1</v>
      </c>
      <c r="BW252" s="161" t="e">
        <f>SUM(BW271)*($G252/100)*BV252</f>
        <v>#REF!</v>
      </c>
      <c r="BY252" s="97"/>
      <c r="BZ252" s="96"/>
      <c r="CA252" s="96"/>
      <c r="CB252" s="96"/>
      <c r="CC252" s="96"/>
      <c r="CD252" s="97"/>
      <c r="CE252" s="183">
        <v>1</v>
      </c>
      <c r="CF252" s="161">
        <f>SUM(CF271)*($G252/100)*CE252</f>
        <v>0</v>
      </c>
      <c r="CG252" s="96"/>
      <c r="CH252" s="96"/>
      <c r="CI252" s="96"/>
      <c r="CJ252" s="96"/>
      <c r="CK252" s="96"/>
      <c r="CL252" s="96"/>
      <c r="CM252" s="183">
        <v>1</v>
      </c>
      <c r="CN252" s="161" t="e">
        <f>SUM(CN271)*($G252/100)*CM252</f>
        <v>#REF!</v>
      </c>
      <c r="CP252" s="14"/>
      <c r="CQ252" s="44">
        <f>SUMIF(I$1:CO$1,1,I252:CO252)</f>
        <v>0</v>
      </c>
      <c r="CR252" s="6"/>
      <c r="CS252" s="44" t="e">
        <f>SUMIF(I$1:CO$1,2,I252:CO252)</f>
        <v>#REF!</v>
      </c>
      <c r="CT252" s="4"/>
      <c r="CU252" s="44"/>
      <c r="CV252" s="4"/>
      <c r="CW252" s="4"/>
      <c r="CX252" s="138"/>
    </row>
    <row r="253" spans="1:110" ht="15" customHeight="1" x14ac:dyDescent="0.25">
      <c r="A253" s="116"/>
      <c r="B253" s="176"/>
      <c r="C253" s="132" t="s">
        <v>152</v>
      </c>
      <c r="D253" s="193" t="s">
        <v>128</v>
      </c>
      <c r="E253" s="132" t="s">
        <v>125</v>
      </c>
      <c r="F253" s="192">
        <v>4.5</v>
      </c>
      <c r="G253" s="191">
        <f>F253</f>
        <v>4.5</v>
      </c>
      <c r="I253" s="190"/>
      <c r="J253" s="187"/>
      <c r="K253" s="187"/>
      <c r="L253" s="187"/>
      <c r="M253" s="188"/>
      <c r="N253" s="187"/>
      <c r="O253" s="183">
        <v>1</v>
      </c>
      <c r="P253" s="161"/>
      <c r="Q253" s="184"/>
      <c r="R253" s="184"/>
      <c r="S253" s="184"/>
      <c r="T253" s="184"/>
      <c r="U253" s="184"/>
      <c r="V253" s="184"/>
      <c r="W253" s="183">
        <v>1</v>
      </c>
      <c r="X253" s="161">
        <f>SUM(X271)*($G253/100)*W253</f>
        <v>0</v>
      </c>
      <c r="Z253" s="189"/>
      <c r="AA253" s="187"/>
      <c r="AB253" s="187"/>
      <c r="AC253" s="187"/>
      <c r="AD253" s="188"/>
      <c r="AE253" s="187"/>
      <c r="AF253" s="183">
        <v>1</v>
      </c>
      <c r="AG253" s="161"/>
      <c r="AH253" s="184"/>
      <c r="AI253" s="184"/>
      <c r="AJ253" s="184"/>
      <c r="AK253" s="184"/>
      <c r="AL253" s="184"/>
      <c r="AM253" s="184"/>
      <c r="AN253" s="183"/>
      <c r="AO253" s="161">
        <f>SUM(AO271)*($G253/100)*AN253</f>
        <v>0</v>
      </c>
      <c r="AQ253" s="185"/>
      <c r="AR253" s="184"/>
      <c r="AS253" s="184"/>
      <c r="AT253" s="184"/>
      <c r="AU253" s="184"/>
      <c r="AV253" s="186"/>
      <c r="AW253" s="183">
        <v>1</v>
      </c>
      <c r="AX253" s="161"/>
      <c r="AY253" s="184"/>
      <c r="AZ253" s="184"/>
      <c r="BA253" s="184"/>
      <c r="BB253" s="184"/>
      <c r="BC253" s="184"/>
      <c r="BD253" s="184"/>
      <c r="BE253" s="183"/>
      <c r="BF253" s="161"/>
      <c r="BH253" s="185"/>
      <c r="BI253" s="184"/>
      <c r="BJ253" s="184"/>
      <c r="BK253" s="184"/>
      <c r="BL253" s="184"/>
      <c r="BM253" s="185"/>
      <c r="BN253" s="183">
        <v>1</v>
      </c>
      <c r="BO253" s="161">
        <f>SUM(BO271)*($G253/100)*BN253</f>
        <v>0</v>
      </c>
      <c r="BP253" s="184"/>
      <c r="BQ253" s="184"/>
      <c r="BR253" s="184"/>
      <c r="BS253" s="184"/>
      <c r="BT253" s="184"/>
      <c r="BU253" s="184"/>
      <c r="BV253" s="183">
        <v>1</v>
      </c>
      <c r="BW253" s="161" t="e">
        <f>SUM(BW271)*($G253/100)*BV253</f>
        <v>#REF!</v>
      </c>
      <c r="BY253" s="185"/>
      <c r="BZ253" s="184"/>
      <c r="CA253" s="184"/>
      <c r="CB253" s="184"/>
      <c r="CC253" s="184"/>
      <c r="CD253" s="185"/>
      <c r="CE253" s="183">
        <v>1</v>
      </c>
      <c r="CF253" s="161">
        <f>SUM(CF271)*($G253/100)*CE253</f>
        <v>0</v>
      </c>
      <c r="CG253" s="184"/>
      <c r="CH253" s="184"/>
      <c r="CI253" s="184"/>
      <c r="CJ253" s="184"/>
      <c r="CK253" s="184"/>
      <c r="CL253" s="184"/>
      <c r="CM253" s="183">
        <v>1</v>
      </c>
      <c r="CN253" s="161" t="e">
        <f>SUM(CN271)*($G253/100)*CM253</f>
        <v>#REF!</v>
      </c>
      <c r="CP253" s="14"/>
      <c r="CQ253" s="44">
        <f>SUMIF(I$1:CO$1,1,I253:CO253)</f>
        <v>0</v>
      </c>
      <c r="CR253" s="6"/>
      <c r="CS253" s="44" t="e">
        <f>SUMIF(I$1:CO$1,2,I253:CO253)</f>
        <v>#REF!</v>
      </c>
      <c r="CT253" s="4"/>
      <c r="CU253" s="44"/>
      <c r="CV253" s="4"/>
      <c r="CW253" s="4"/>
      <c r="CX253" s="138"/>
      <c r="DD253" s="2"/>
    </row>
    <row r="254" spans="1:110" ht="15" customHeight="1" x14ac:dyDescent="0.25">
      <c r="A254" s="116"/>
      <c r="B254" s="176"/>
      <c r="C254" s="132" t="s">
        <v>2</v>
      </c>
      <c r="D254" s="175" t="s">
        <v>151</v>
      </c>
      <c r="E254" s="174" t="s">
        <v>106</v>
      </c>
      <c r="F254" s="173"/>
      <c r="G254" s="173"/>
      <c r="I254" s="182">
        <f>SUM('[1]Ostatní naklady na přípravu'!T35:T59)+0.07%*CQ271+0.2%*CQ271+0.02%*CQ271+(15990291.11+111114787.58+825000)/1000000+(15977942.64+7495303.68)/1000000</f>
        <v>163.88158313000002</v>
      </c>
      <c r="J254" s="181"/>
      <c r="K254" s="181"/>
      <c r="L254" s="181"/>
      <c r="M254" s="180"/>
      <c r="N254" s="169"/>
      <c r="O254" s="162"/>
      <c r="P254" s="161"/>
      <c r="Q254" s="163"/>
      <c r="R254" s="163"/>
      <c r="S254" s="163"/>
      <c r="T254" s="163"/>
      <c r="U254" s="163"/>
      <c r="V254" s="163"/>
      <c r="W254" s="162">
        <v>1</v>
      </c>
      <c r="X254" s="161">
        <f>$P254*W254</f>
        <v>0</v>
      </c>
      <c r="Z254" s="182"/>
      <c r="AA254" s="181"/>
      <c r="AB254" s="181"/>
      <c r="AC254" s="181"/>
      <c r="AD254" s="180"/>
      <c r="AE254" s="169"/>
      <c r="AF254" s="162"/>
      <c r="AG254" s="161"/>
      <c r="AH254" s="163"/>
      <c r="AI254" s="163"/>
      <c r="AJ254" s="163"/>
      <c r="AK254" s="163"/>
      <c r="AL254" s="163"/>
      <c r="AM254" s="163"/>
      <c r="AN254" s="162"/>
      <c r="AO254" s="161">
        <f>AG254*AN254</f>
        <v>0</v>
      </c>
      <c r="AQ254" s="179"/>
      <c r="AR254" s="178"/>
      <c r="AS254" s="178"/>
      <c r="AT254" s="178"/>
      <c r="AU254" s="177"/>
      <c r="AV254" s="168"/>
      <c r="AW254" s="162"/>
      <c r="AX254" s="161"/>
      <c r="AY254" s="163"/>
      <c r="AZ254" s="163"/>
      <c r="BA254" s="163"/>
      <c r="BB254" s="163"/>
      <c r="BC254" s="163"/>
      <c r="BD254" s="163"/>
      <c r="BE254" s="162"/>
      <c r="BF254" s="161"/>
      <c r="BH254" s="179"/>
      <c r="BI254" s="178"/>
      <c r="BJ254" s="178"/>
      <c r="BK254" s="178"/>
      <c r="BL254" s="177"/>
      <c r="BM254" s="164"/>
      <c r="BN254" s="162"/>
      <c r="BO254" s="161">
        <f>SUM(BH254:BL254)</f>
        <v>0</v>
      </c>
      <c r="BP254" s="163"/>
      <c r="BQ254" s="163"/>
      <c r="BR254" s="163"/>
      <c r="BS254" s="163"/>
      <c r="BT254" s="163"/>
      <c r="BU254" s="163"/>
      <c r="BV254" s="162">
        <v>1</v>
      </c>
      <c r="BW254" s="161">
        <f>BO254*BV254</f>
        <v>0</v>
      </c>
      <c r="BY254" s="179"/>
      <c r="BZ254" s="178"/>
      <c r="CA254" s="178"/>
      <c r="CB254" s="178"/>
      <c r="CC254" s="177"/>
      <c r="CD254" s="164"/>
      <c r="CE254" s="162"/>
      <c r="CF254" s="161">
        <f>SUM(BY254:CC254)</f>
        <v>0</v>
      </c>
      <c r="CG254" s="163"/>
      <c r="CH254" s="163"/>
      <c r="CI254" s="163"/>
      <c r="CJ254" s="163"/>
      <c r="CK254" s="163"/>
      <c r="CL254" s="163"/>
      <c r="CM254" s="162">
        <v>1</v>
      </c>
      <c r="CN254" s="161">
        <f>CF254*CM254</f>
        <v>0</v>
      </c>
      <c r="CP254" s="14"/>
      <c r="CQ254" s="44">
        <f>SUMIF(I$1:CO$1,1,I254:CO254)</f>
        <v>0</v>
      </c>
      <c r="CR254" s="6"/>
      <c r="CS254" s="44">
        <f>SUMIF(I$1:CO$1,2,I254:CO254)</f>
        <v>0</v>
      </c>
      <c r="CT254" s="4"/>
      <c r="CU254" s="44"/>
      <c r="CV254" s="4"/>
      <c r="CW254" s="4"/>
      <c r="CX254" s="138"/>
    </row>
    <row r="255" spans="1:110" ht="15" customHeight="1" x14ac:dyDescent="0.25">
      <c r="A255" s="116"/>
      <c r="B255" s="176"/>
      <c r="C255" s="132" t="s">
        <v>0</v>
      </c>
      <c r="D255" s="175" t="s">
        <v>150</v>
      </c>
      <c r="E255" s="174" t="s">
        <v>106</v>
      </c>
      <c r="F255" s="173"/>
      <c r="G255" s="173"/>
      <c r="I255" s="172">
        <f>39200276.5/1000000</f>
        <v>39.200276500000001</v>
      </c>
      <c r="J255" s="171"/>
      <c r="K255" s="171"/>
      <c r="L255" s="171"/>
      <c r="M255" s="170"/>
      <c r="N255" s="169"/>
      <c r="O255" s="162"/>
      <c r="P255" s="161"/>
      <c r="Q255" s="163"/>
      <c r="R255" s="163"/>
      <c r="S255" s="163"/>
      <c r="T255" s="163"/>
      <c r="U255" s="163"/>
      <c r="V255" s="163"/>
      <c r="W255" s="162">
        <v>1</v>
      </c>
      <c r="X255" s="161">
        <f>$P255*W255</f>
        <v>0</v>
      </c>
      <c r="Z255" s="172"/>
      <c r="AA255" s="171"/>
      <c r="AB255" s="171"/>
      <c r="AC255" s="171"/>
      <c r="AD255" s="170"/>
      <c r="AE255" s="169"/>
      <c r="AF255" s="162"/>
      <c r="AG255" s="161"/>
      <c r="AH255" s="163"/>
      <c r="AI255" s="163"/>
      <c r="AJ255" s="163"/>
      <c r="AK255" s="163"/>
      <c r="AL255" s="163"/>
      <c r="AM255" s="163"/>
      <c r="AN255" s="162"/>
      <c r="AO255" s="161">
        <f>AG255*AN255</f>
        <v>0</v>
      </c>
      <c r="AQ255" s="167"/>
      <c r="AR255" s="166"/>
      <c r="AS255" s="166"/>
      <c r="AT255" s="166"/>
      <c r="AU255" s="165"/>
      <c r="AV255" s="168"/>
      <c r="AW255" s="162"/>
      <c r="AX255" s="161"/>
      <c r="AY255" s="163"/>
      <c r="AZ255" s="163"/>
      <c r="BA255" s="163"/>
      <c r="BB255" s="163"/>
      <c r="BC255" s="163"/>
      <c r="BD255" s="163"/>
      <c r="BE255" s="162"/>
      <c r="BF255" s="161"/>
      <c r="BH255" s="167"/>
      <c r="BI255" s="166"/>
      <c r="BJ255" s="166"/>
      <c r="BK255" s="166"/>
      <c r="BL255" s="165"/>
      <c r="BM255" s="164"/>
      <c r="BN255" s="162"/>
      <c r="BO255" s="161">
        <f>SUM(BH255:BL255)</f>
        <v>0</v>
      </c>
      <c r="BP255" s="163"/>
      <c r="BQ255" s="163"/>
      <c r="BR255" s="163"/>
      <c r="BS255" s="163"/>
      <c r="BT255" s="163"/>
      <c r="BU255" s="163"/>
      <c r="BV255" s="162">
        <v>1</v>
      </c>
      <c r="BW255" s="161">
        <f>BO255*BV255</f>
        <v>0</v>
      </c>
      <c r="BY255" s="167"/>
      <c r="BZ255" s="166"/>
      <c r="CA255" s="166"/>
      <c r="CB255" s="166"/>
      <c r="CC255" s="165"/>
      <c r="CD255" s="164"/>
      <c r="CE255" s="162"/>
      <c r="CF255" s="161">
        <f>SUM(BY255:CC255)</f>
        <v>0</v>
      </c>
      <c r="CG255" s="163"/>
      <c r="CH255" s="163"/>
      <c r="CI255" s="163"/>
      <c r="CJ255" s="163"/>
      <c r="CK255" s="163"/>
      <c r="CL255" s="163"/>
      <c r="CM255" s="162">
        <v>1</v>
      </c>
      <c r="CN255" s="161">
        <f>CF255*CM255</f>
        <v>0</v>
      </c>
      <c r="CP255" s="14"/>
      <c r="CQ255" s="44">
        <f>SUMIF(I$1:CO$1,1,I255:CO255)</f>
        <v>0</v>
      </c>
      <c r="CR255" s="6"/>
      <c r="CS255" s="44">
        <f>SUMIF(I$1:CO$1,2,I255:CO255)</f>
        <v>0</v>
      </c>
      <c r="CT255" s="4"/>
      <c r="CU255" s="44"/>
      <c r="CV255" s="4"/>
      <c r="CW255" s="4"/>
      <c r="CX255" s="138"/>
      <c r="DD255" s="2"/>
      <c r="DE255" s="2"/>
      <c r="DF255" s="155" t="e">
        <f>SUM(#REF!)</f>
        <v>#REF!</v>
      </c>
    </row>
    <row r="256" spans="1:110" ht="15" customHeight="1" x14ac:dyDescent="0.25">
      <c r="A256" s="116"/>
      <c r="B256" s="160" t="s">
        <v>149</v>
      </c>
      <c r="C256" s="158" t="s">
        <v>127</v>
      </c>
      <c r="D256" s="159" t="s">
        <v>126</v>
      </c>
      <c r="E256" s="158" t="s">
        <v>125</v>
      </c>
      <c r="F256" s="157">
        <v>10</v>
      </c>
      <c r="G256" s="157">
        <f>F256</f>
        <v>10</v>
      </c>
      <c r="I256" s="101"/>
      <c r="J256" s="100"/>
      <c r="K256" s="100"/>
      <c r="L256" s="100"/>
      <c r="M256" s="99"/>
      <c r="N256" s="100"/>
      <c r="O256" s="110">
        <v>1</v>
      </c>
      <c r="P256" s="64"/>
      <c r="Q256" s="109"/>
      <c r="R256" s="109"/>
      <c r="S256" s="109"/>
      <c r="T256" s="109"/>
      <c r="U256" s="109"/>
      <c r="V256" s="109"/>
      <c r="W256" s="108">
        <v>1</v>
      </c>
      <c r="X256" s="64">
        <f>SUM(X271)*($G256/100)*W256</f>
        <v>0</v>
      </c>
      <c r="Z256" s="101"/>
      <c r="AA256" s="100"/>
      <c r="AB256" s="100"/>
      <c r="AC256" s="100"/>
      <c r="AD256" s="99"/>
      <c r="AE256" s="100"/>
      <c r="AF256" s="110">
        <v>1</v>
      </c>
      <c r="AG256" s="64"/>
      <c r="AH256" s="109"/>
      <c r="AI256" s="109"/>
      <c r="AJ256" s="109"/>
      <c r="AK256" s="109"/>
      <c r="AL256" s="109"/>
      <c r="AM256" s="109"/>
      <c r="AN256" s="108"/>
      <c r="AO256" s="64">
        <f>SUM(AO271)*($G256/100)*AN256</f>
        <v>0</v>
      </c>
      <c r="AQ256" s="97"/>
      <c r="AR256" s="96"/>
      <c r="AS256" s="96"/>
      <c r="AT256" s="96"/>
      <c r="AU256" s="96"/>
      <c r="AV256" s="156"/>
      <c r="AW256" s="110">
        <v>1</v>
      </c>
      <c r="AX256" s="64"/>
      <c r="AY256" s="109"/>
      <c r="AZ256" s="109"/>
      <c r="BA256" s="109"/>
      <c r="BB256" s="109"/>
      <c r="BC256" s="109"/>
      <c r="BD256" s="109"/>
      <c r="BE256" s="108"/>
      <c r="BF256" s="64"/>
      <c r="BH256" s="97"/>
      <c r="BI256" s="96"/>
      <c r="BJ256" s="96"/>
      <c r="BK256" s="96"/>
      <c r="BL256" s="96"/>
      <c r="BM256" s="97"/>
      <c r="BN256" s="110">
        <v>1</v>
      </c>
      <c r="BO256" s="64">
        <f>SUM(BO271)*($G256/100)*BN256</f>
        <v>0</v>
      </c>
      <c r="BP256" s="109"/>
      <c r="BQ256" s="109"/>
      <c r="BR256" s="109"/>
      <c r="BS256" s="109"/>
      <c r="BT256" s="109"/>
      <c r="BU256" s="109"/>
      <c r="BV256" s="108">
        <v>1</v>
      </c>
      <c r="BW256" s="64" t="e">
        <f>SUM(BW271)*($G256/100)*BV256</f>
        <v>#REF!</v>
      </c>
      <c r="BY256" s="97"/>
      <c r="BZ256" s="96"/>
      <c r="CA256" s="96"/>
      <c r="CB256" s="96"/>
      <c r="CC256" s="96"/>
      <c r="CD256" s="97"/>
      <c r="CE256" s="110">
        <v>1</v>
      </c>
      <c r="CF256" s="64">
        <f>SUM(CF271)*($G256/100)*CE256</f>
        <v>0</v>
      </c>
      <c r="CG256" s="109"/>
      <c r="CH256" s="109"/>
      <c r="CI256" s="109"/>
      <c r="CJ256" s="109"/>
      <c r="CK256" s="109"/>
      <c r="CL256" s="109"/>
      <c r="CM256" s="108">
        <v>1</v>
      </c>
      <c r="CN256" s="64" t="e">
        <f>SUM(CN271)*($G256/100)*CM256</f>
        <v>#REF!</v>
      </c>
      <c r="CP256" s="14"/>
      <c r="CQ256" s="44">
        <f>SUMIF(I$1:CO$1,1,I256:CO256)</f>
        <v>0</v>
      </c>
      <c r="CR256" s="6"/>
      <c r="CS256" s="44" t="e">
        <f>SUMIF(I$1:CO$1,2,I256:CO256)</f>
        <v>#REF!</v>
      </c>
      <c r="CT256" s="4"/>
      <c r="CU256" s="44"/>
      <c r="CV256" s="5"/>
      <c r="CW256" s="4"/>
      <c r="CX256" s="138"/>
      <c r="DE256" s="2"/>
      <c r="DF256" s="155" t="e">
        <f>#REF!-#REF!</f>
        <v>#REF!</v>
      </c>
    </row>
    <row r="257" spans="1:102" ht="15" customHeight="1" thickBot="1" x14ac:dyDescent="0.3">
      <c r="A257" s="107"/>
      <c r="B257" s="154"/>
      <c r="C257" s="152"/>
      <c r="D257" s="153" t="s">
        <v>148</v>
      </c>
      <c r="E257" s="152"/>
      <c r="F257" s="151"/>
      <c r="G257" s="151"/>
      <c r="I257" s="150"/>
      <c r="J257" s="149"/>
      <c r="K257" s="149"/>
      <c r="L257" s="149"/>
      <c r="M257" s="148"/>
      <c r="N257" s="147"/>
      <c r="O257" s="141"/>
      <c r="P257" s="140"/>
      <c r="Q257" s="142"/>
      <c r="R257" s="142"/>
      <c r="S257" s="142"/>
      <c r="T257" s="142"/>
      <c r="U257" s="142"/>
      <c r="V257" s="142"/>
      <c r="W257" s="141"/>
      <c r="X257" s="140">
        <f>SUM(X243:X256)</f>
        <v>0</v>
      </c>
      <c r="Z257" s="150"/>
      <c r="AA257" s="149"/>
      <c r="AB257" s="149"/>
      <c r="AC257" s="149"/>
      <c r="AD257" s="148"/>
      <c r="AE257" s="147"/>
      <c r="AF257" s="141"/>
      <c r="AG257" s="140"/>
      <c r="AH257" s="142"/>
      <c r="AI257" s="142"/>
      <c r="AJ257" s="142"/>
      <c r="AK257" s="142"/>
      <c r="AL257" s="142"/>
      <c r="AM257" s="142"/>
      <c r="AN257" s="141"/>
      <c r="AO257" s="140">
        <f>SUM(AO243:AO256)</f>
        <v>0</v>
      </c>
      <c r="AQ257" s="145"/>
      <c r="AR257" s="144"/>
      <c r="AS257" s="144"/>
      <c r="AT257" s="144"/>
      <c r="AU257" s="144"/>
      <c r="AV257" s="146"/>
      <c r="AW257" s="141"/>
      <c r="AX257" s="140"/>
      <c r="AY257" s="142"/>
      <c r="AZ257" s="142"/>
      <c r="BA257" s="142"/>
      <c r="BB257" s="142"/>
      <c r="BC257" s="142"/>
      <c r="BD257" s="142"/>
      <c r="BE257" s="141"/>
      <c r="BF257" s="140"/>
      <c r="BH257" s="145"/>
      <c r="BI257" s="144"/>
      <c r="BJ257" s="144"/>
      <c r="BK257" s="144"/>
      <c r="BL257" s="144"/>
      <c r="BM257" s="143"/>
      <c r="BN257" s="141"/>
      <c r="BO257" s="140">
        <f>SUM(BO243:BO256)</f>
        <v>0</v>
      </c>
      <c r="BP257" s="142"/>
      <c r="BQ257" s="142"/>
      <c r="BR257" s="142"/>
      <c r="BS257" s="142"/>
      <c r="BT257" s="142"/>
      <c r="BU257" s="142"/>
      <c r="BV257" s="141"/>
      <c r="BW257" s="140" t="e">
        <f>SUM(BW243:BW256)</f>
        <v>#REF!</v>
      </c>
      <c r="BY257" s="145"/>
      <c r="BZ257" s="144"/>
      <c r="CA257" s="144"/>
      <c r="CB257" s="144"/>
      <c r="CC257" s="144"/>
      <c r="CD257" s="143"/>
      <c r="CE257" s="141"/>
      <c r="CF257" s="140">
        <f>SUM(CF243:CF256)</f>
        <v>0</v>
      </c>
      <c r="CG257" s="142"/>
      <c r="CH257" s="142"/>
      <c r="CI257" s="142"/>
      <c r="CJ257" s="142"/>
      <c r="CK257" s="142"/>
      <c r="CL257" s="142"/>
      <c r="CM257" s="141"/>
      <c r="CN257" s="140" t="e">
        <f>SUM(CN243:CN256)</f>
        <v>#REF!</v>
      </c>
      <c r="CP257" s="6"/>
      <c r="CQ257" s="139">
        <f>SUM(CQ243:CQ256)</f>
        <v>0</v>
      </c>
      <c r="CR257" s="6"/>
      <c r="CS257" s="139" t="e">
        <f>SUM(CS243:CS256)</f>
        <v>#REF!</v>
      </c>
      <c r="CT257" s="4"/>
      <c r="CU257" s="139"/>
      <c r="CV257" s="4"/>
      <c r="CW257" s="4"/>
      <c r="CX257" s="138"/>
    </row>
    <row r="258" spans="1:102" ht="6.9" customHeight="1" thickBot="1" x14ac:dyDescent="0.3">
      <c r="A258" s="26"/>
      <c r="B258" s="25"/>
      <c r="C258" s="23"/>
      <c r="D258" s="24"/>
      <c r="E258" s="23"/>
      <c r="F258" s="62"/>
      <c r="G258" s="62"/>
      <c r="I258" s="21"/>
      <c r="J258" s="20"/>
      <c r="K258" s="20"/>
      <c r="L258" s="20"/>
      <c r="M258" s="61"/>
      <c r="N258" s="17"/>
      <c r="O258" s="16"/>
      <c r="P258" s="17"/>
      <c r="Q258" s="16"/>
      <c r="R258" s="16"/>
      <c r="S258" s="16"/>
      <c r="T258" s="16"/>
      <c r="U258" s="16"/>
      <c r="V258" s="16"/>
      <c r="W258" s="16"/>
      <c r="X258" s="15"/>
      <c r="Z258" s="21"/>
      <c r="AA258" s="20"/>
      <c r="AB258" s="20"/>
      <c r="AC258" s="20"/>
      <c r="AD258" s="61"/>
      <c r="AE258" s="17"/>
      <c r="AF258" s="16"/>
      <c r="AG258" s="17"/>
      <c r="AH258" s="16"/>
      <c r="AI258" s="16"/>
      <c r="AJ258" s="16"/>
      <c r="AK258" s="16"/>
      <c r="AL258" s="16"/>
      <c r="AM258" s="16"/>
      <c r="AN258" s="16"/>
      <c r="AO258" s="15"/>
      <c r="AQ258" s="19"/>
      <c r="AR258" s="18"/>
      <c r="AS258" s="18"/>
      <c r="AT258" s="18"/>
      <c r="AU258" s="18"/>
      <c r="AV258" s="16"/>
      <c r="AW258" s="16"/>
      <c r="AX258" s="17"/>
      <c r="AY258" s="16"/>
      <c r="AZ258" s="16"/>
      <c r="BA258" s="16"/>
      <c r="BB258" s="16"/>
      <c r="BC258" s="16"/>
      <c r="BD258" s="16"/>
      <c r="BE258" s="16"/>
      <c r="BF258" s="15"/>
      <c r="BH258" s="19"/>
      <c r="BI258" s="18"/>
      <c r="BJ258" s="18"/>
      <c r="BK258" s="18"/>
      <c r="BL258" s="18"/>
      <c r="BM258" s="16"/>
      <c r="BN258" s="16"/>
      <c r="BO258" s="17"/>
      <c r="BP258" s="16"/>
      <c r="BQ258" s="16"/>
      <c r="BR258" s="16"/>
      <c r="BS258" s="16"/>
      <c r="BT258" s="16"/>
      <c r="BU258" s="16"/>
      <c r="BV258" s="16"/>
      <c r="BW258" s="15"/>
      <c r="BY258" s="19"/>
      <c r="BZ258" s="18"/>
      <c r="CA258" s="18"/>
      <c r="CB258" s="18"/>
      <c r="CC258" s="18"/>
      <c r="CD258" s="16"/>
      <c r="CE258" s="16"/>
      <c r="CF258" s="17"/>
      <c r="CG258" s="16"/>
      <c r="CH258" s="16"/>
      <c r="CI258" s="16"/>
      <c r="CJ258" s="16"/>
      <c r="CK258" s="16"/>
      <c r="CL258" s="16"/>
      <c r="CM258" s="16"/>
      <c r="CN258" s="15"/>
      <c r="CP258" s="14"/>
      <c r="CQ258" s="137"/>
      <c r="CR258" s="6"/>
      <c r="CS258" s="137"/>
      <c r="CT258" s="4"/>
      <c r="CU258" s="137"/>
      <c r="CV258" s="4"/>
      <c r="CW258" s="4"/>
      <c r="CX258" s="4"/>
    </row>
    <row r="259" spans="1:102" ht="15" customHeight="1" x14ac:dyDescent="0.25">
      <c r="A259" s="116" t="s">
        <v>147</v>
      </c>
      <c r="B259" s="136" t="s">
        <v>146</v>
      </c>
      <c r="C259" s="125"/>
      <c r="D259" s="124" t="s">
        <v>145</v>
      </c>
      <c r="E259" s="135" t="s">
        <v>106</v>
      </c>
      <c r="F259" s="118"/>
      <c r="G259" s="118"/>
      <c r="I259" s="101"/>
      <c r="J259" s="100"/>
      <c r="K259" s="100"/>
      <c r="L259" s="100"/>
      <c r="M259" s="99"/>
      <c r="N259" s="52"/>
      <c r="O259" s="50"/>
      <c r="P259" s="84">
        <f>SUM(P7:P23)</f>
        <v>0</v>
      </c>
      <c r="Q259" s="48"/>
      <c r="R259" s="48"/>
      <c r="S259" s="48"/>
      <c r="T259" s="48"/>
      <c r="U259" s="48"/>
      <c r="V259" s="48"/>
      <c r="W259" s="50"/>
      <c r="X259" s="84">
        <f>SUM(X7:X23)</f>
        <v>0</v>
      </c>
      <c r="Z259" s="101"/>
      <c r="AA259" s="100"/>
      <c r="AB259" s="100"/>
      <c r="AC259" s="100"/>
      <c r="AD259" s="99"/>
      <c r="AE259" s="52"/>
      <c r="AF259" s="50"/>
      <c r="AG259" s="84"/>
      <c r="AH259" s="48"/>
      <c r="AI259" s="48"/>
      <c r="AJ259" s="48"/>
      <c r="AK259" s="48"/>
      <c r="AL259" s="48"/>
      <c r="AM259" s="48"/>
      <c r="AN259" s="50"/>
      <c r="AO259" s="84">
        <f>SUM(AO7:AO23)</f>
        <v>0</v>
      </c>
      <c r="AQ259" s="97"/>
      <c r="AR259" s="96"/>
      <c r="AS259" s="96"/>
      <c r="AT259" s="96"/>
      <c r="AU259" s="96"/>
      <c r="AV259" s="51"/>
      <c r="AW259" s="50"/>
      <c r="AX259" s="84"/>
      <c r="AY259" s="48"/>
      <c r="AZ259" s="48"/>
      <c r="BA259" s="48"/>
      <c r="BB259" s="48"/>
      <c r="BC259" s="48"/>
      <c r="BD259" s="48"/>
      <c r="BE259" s="50"/>
      <c r="BF259" s="84"/>
      <c r="BH259" s="97"/>
      <c r="BI259" s="96"/>
      <c r="BJ259" s="96"/>
      <c r="BK259" s="96"/>
      <c r="BL259" s="96"/>
      <c r="BM259" s="51"/>
      <c r="BN259" s="50"/>
      <c r="BO259" s="84">
        <f>SUM(BO7:BO23)</f>
        <v>0</v>
      </c>
      <c r="BP259" s="48"/>
      <c r="BQ259" s="48"/>
      <c r="BR259" s="48"/>
      <c r="BS259" s="48"/>
      <c r="BT259" s="48"/>
      <c r="BU259" s="48"/>
      <c r="BV259" s="50"/>
      <c r="BW259" s="84" t="e">
        <f>SUM(BW7:BW23)</f>
        <v>#REF!</v>
      </c>
      <c r="BY259" s="97"/>
      <c r="BZ259" s="96"/>
      <c r="CA259" s="96"/>
      <c r="CB259" s="96"/>
      <c r="CC259" s="96"/>
      <c r="CD259" s="51"/>
      <c r="CE259" s="50"/>
      <c r="CF259" s="84">
        <f>SUM(CF7:CF23)</f>
        <v>0</v>
      </c>
      <c r="CG259" s="48"/>
      <c r="CH259" s="48"/>
      <c r="CI259" s="48"/>
      <c r="CJ259" s="48"/>
      <c r="CK259" s="48"/>
      <c r="CL259" s="48"/>
      <c r="CM259" s="50"/>
      <c r="CN259" s="84" t="e">
        <f>SUM(CN7:CN23)</f>
        <v>#REF!</v>
      </c>
      <c r="CP259" s="14"/>
      <c r="CQ259" s="83">
        <f>SUMIF(I$1:CO$1,1,I259:CO259)</f>
        <v>0</v>
      </c>
      <c r="CR259" s="6"/>
      <c r="CS259" s="82" t="e">
        <f>SUMIF(I$1:CO$1,2,I259:CO259)</f>
        <v>#REF!</v>
      </c>
      <c r="CT259" s="4"/>
      <c r="CU259" s="82"/>
      <c r="CV259" s="4"/>
      <c r="CW259" s="4"/>
      <c r="CX259" s="4"/>
    </row>
    <row r="260" spans="1:102" ht="15" customHeight="1" x14ac:dyDescent="0.25">
      <c r="A260" s="116"/>
      <c r="B260" s="133"/>
      <c r="C260" s="123"/>
      <c r="D260" s="122" t="s">
        <v>144</v>
      </c>
      <c r="E260" s="132" t="s">
        <v>106</v>
      </c>
      <c r="F260" s="118"/>
      <c r="G260" s="118"/>
      <c r="I260" s="101"/>
      <c r="J260" s="100"/>
      <c r="K260" s="100"/>
      <c r="L260" s="100"/>
      <c r="M260" s="99"/>
      <c r="N260" s="68"/>
      <c r="O260" s="65"/>
      <c r="P260" s="64">
        <f>SUM(P25:P40)</f>
        <v>0</v>
      </c>
      <c r="Q260" s="66"/>
      <c r="R260" s="66"/>
      <c r="S260" s="66"/>
      <c r="T260" s="66"/>
      <c r="U260" s="66"/>
      <c r="V260" s="66"/>
      <c r="W260" s="65"/>
      <c r="X260" s="64">
        <f>SUM(X25:X40)</f>
        <v>0</v>
      </c>
      <c r="Z260" s="101"/>
      <c r="AA260" s="100"/>
      <c r="AB260" s="100"/>
      <c r="AC260" s="100"/>
      <c r="AD260" s="99"/>
      <c r="AE260" s="68"/>
      <c r="AF260" s="65"/>
      <c r="AG260" s="64"/>
      <c r="AH260" s="66"/>
      <c r="AI260" s="66"/>
      <c r="AJ260" s="66"/>
      <c r="AK260" s="66"/>
      <c r="AL260" s="66"/>
      <c r="AM260" s="66"/>
      <c r="AN260" s="65"/>
      <c r="AO260" s="64">
        <f>SUM(AO25:AO40)</f>
        <v>0</v>
      </c>
      <c r="AQ260" s="97"/>
      <c r="AR260" s="96"/>
      <c r="AS260" s="96"/>
      <c r="AT260" s="96"/>
      <c r="AU260" s="96"/>
      <c r="AV260" s="67"/>
      <c r="AW260" s="65"/>
      <c r="AX260" s="64"/>
      <c r="AY260" s="66"/>
      <c r="AZ260" s="66"/>
      <c r="BA260" s="66"/>
      <c r="BB260" s="66"/>
      <c r="BC260" s="66"/>
      <c r="BD260" s="66"/>
      <c r="BE260" s="65"/>
      <c r="BF260" s="64"/>
      <c r="BH260" s="97"/>
      <c r="BI260" s="96"/>
      <c r="BJ260" s="96"/>
      <c r="BK260" s="96"/>
      <c r="BL260" s="96"/>
      <c r="BM260" s="67"/>
      <c r="BN260" s="65"/>
      <c r="BO260" s="64">
        <f>SUM(BO25:BO40)</f>
        <v>0</v>
      </c>
      <c r="BP260" s="66"/>
      <c r="BQ260" s="66"/>
      <c r="BR260" s="66"/>
      <c r="BS260" s="66"/>
      <c r="BT260" s="66"/>
      <c r="BU260" s="66"/>
      <c r="BV260" s="65"/>
      <c r="BW260" s="64" t="e">
        <f>SUM(BW25:BW40)</f>
        <v>#REF!</v>
      </c>
      <c r="BY260" s="97"/>
      <c r="BZ260" s="96"/>
      <c r="CA260" s="96"/>
      <c r="CB260" s="96"/>
      <c r="CC260" s="96"/>
      <c r="CD260" s="67"/>
      <c r="CE260" s="65"/>
      <c r="CF260" s="64">
        <f>SUM(CF25:CF40)</f>
        <v>0</v>
      </c>
      <c r="CG260" s="66"/>
      <c r="CH260" s="66"/>
      <c r="CI260" s="66"/>
      <c r="CJ260" s="66"/>
      <c r="CK260" s="66"/>
      <c r="CL260" s="66"/>
      <c r="CM260" s="65"/>
      <c r="CN260" s="64" t="e">
        <f>SUM(CN25:CN40)</f>
        <v>#REF!</v>
      </c>
      <c r="CP260" s="14"/>
      <c r="CQ260" s="45">
        <f>SUMIF(I$1:CO$1,1,I260:CO260)</f>
        <v>0</v>
      </c>
      <c r="CR260" s="6"/>
      <c r="CS260" s="44" t="e">
        <f>SUMIF(I$1:CO$1,2,I260:CO260)</f>
        <v>#REF!</v>
      </c>
      <c r="CU260" s="44"/>
    </row>
    <row r="261" spans="1:102" ht="15" customHeight="1" x14ac:dyDescent="0.25">
      <c r="A261" s="116"/>
      <c r="B261" s="133"/>
      <c r="C261" s="123"/>
      <c r="D261" s="122" t="s">
        <v>143</v>
      </c>
      <c r="E261" s="132" t="s">
        <v>106</v>
      </c>
      <c r="F261" s="118"/>
      <c r="G261" s="118"/>
      <c r="I261" s="101"/>
      <c r="J261" s="100"/>
      <c r="K261" s="100"/>
      <c r="L261" s="100"/>
      <c r="M261" s="99"/>
      <c r="N261" s="68"/>
      <c r="O261" s="65"/>
      <c r="P261" s="64">
        <f>SUM(P42:P56,P58:P64,P225:P240)</f>
        <v>0</v>
      </c>
      <c r="Q261" s="66"/>
      <c r="R261" s="66"/>
      <c r="S261" s="66"/>
      <c r="T261" s="66"/>
      <c r="U261" s="66"/>
      <c r="V261" s="66"/>
      <c r="W261" s="65"/>
      <c r="X261" s="64">
        <f>SUM(X42:X56,X58:X64,X225:X240)</f>
        <v>0</v>
      </c>
      <c r="Z261" s="101"/>
      <c r="AA261" s="100"/>
      <c r="AB261" s="100"/>
      <c r="AC261" s="100"/>
      <c r="AD261" s="99"/>
      <c r="AE261" s="68"/>
      <c r="AF261" s="65"/>
      <c r="AG261" s="64"/>
      <c r="AH261" s="66"/>
      <c r="AI261" s="66"/>
      <c r="AJ261" s="66"/>
      <c r="AK261" s="66"/>
      <c r="AL261" s="66"/>
      <c r="AM261" s="66"/>
      <c r="AN261" s="65"/>
      <c r="AO261" s="64">
        <f>SUM(AO42:AO56,AO58:AO64,AO225:AO240)</f>
        <v>0</v>
      </c>
      <c r="AQ261" s="97"/>
      <c r="AR261" s="96"/>
      <c r="AS261" s="96"/>
      <c r="AT261" s="96"/>
      <c r="AU261" s="96"/>
      <c r="AV261" s="67"/>
      <c r="AW261" s="65"/>
      <c r="AX261" s="64"/>
      <c r="AY261" s="66"/>
      <c r="AZ261" s="66"/>
      <c r="BA261" s="66"/>
      <c r="BB261" s="66"/>
      <c r="BC261" s="66"/>
      <c r="BD261" s="66"/>
      <c r="BE261" s="65"/>
      <c r="BF261" s="64"/>
      <c r="BH261" s="97"/>
      <c r="BI261" s="96"/>
      <c r="BJ261" s="96"/>
      <c r="BK261" s="96"/>
      <c r="BL261" s="96"/>
      <c r="BM261" s="67"/>
      <c r="BN261" s="65"/>
      <c r="BO261" s="64">
        <f>SUM(BO42:BO56,BO58:BO64,BO225:BO240)</f>
        <v>0</v>
      </c>
      <c r="BP261" s="66"/>
      <c r="BQ261" s="66"/>
      <c r="BR261" s="66"/>
      <c r="BS261" s="66"/>
      <c r="BT261" s="66"/>
      <c r="BU261" s="66"/>
      <c r="BV261" s="65"/>
      <c r="BW261" s="64" t="e">
        <f>SUM(BW42:BW56,BW58:BW64,BW225:BW240)</f>
        <v>#REF!</v>
      </c>
      <c r="BY261" s="97"/>
      <c r="BZ261" s="96"/>
      <c r="CA261" s="96"/>
      <c r="CB261" s="96"/>
      <c r="CC261" s="96"/>
      <c r="CD261" s="67"/>
      <c r="CE261" s="65"/>
      <c r="CF261" s="64">
        <f>SUM(CF42:CF56,CF58:CF64,CF225:CF240)</f>
        <v>0</v>
      </c>
      <c r="CG261" s="66"/>
      <c r="CH261" s="66"/>
      <c r="CI261" s="66"/>
      <c r="CJ261" s="66"/>
      <c r="CK261" s="66"/>
      <c r="CL261" s="66"/>
      <c r="CM261" s="65"/>
      <c r="CN261" s="64" t="e">
        <f>SUM(CN42:CN56,CN58:CN64,CN225:CN240)</f>
        <v>#REF!</v>
      </c>
      <c r="CP261" s="14"/>
      <c r="CQ261" s="45">
        <f>SUMIF(I$1:CO$1,1,I261:CO261)</f>
        <v>0</v>
      </c>
      <c r="CR261" s="6"/>
      <c r="CS261" s="44" t="e">
        <f>SUMIF(I$1:CO$1,2,I261:CO261)</f>
        <v>#REF!</v>
      </c>
      <c r="CU261" s="44"/>
    </row>
    <row r="262" spans="1:102" ht="15" customHeight="1" x14ac:dyDescent="0.25">
      <c r="A262" s="116"/>
      <c r="B262" s="133"/>
      <c r="C262" s="123"/>
      <c r="D262" s="122" t="s">
        <v>142</v>
      </c>
      <c r="E262" s="132" t="s">
        <v>106</v>
      </c>
      <c r="F262" s="118"/>
      <c r="G262" s="118"/>
      <c r="I262" s="101"/>
      <c r="J262" s="100"/>
      <c r="K262" s="100"/>
      <c r="L262" s="100"/>
      <c r="M262" s="99"/>
      <c r="N262" s="68"/>
      <c r="O262" s="65"/>
      <c r="P262" s="64">
        <f>SUM(P66:P98)</f>
        <v>0</v>
      </c>
      <c r="Q262" s="66"/>
      <c r="R262" s="66"/>
      <c r="S262" s="66"/>
      <c r="T262" s="66"/>
      <c r="U262" s="66"/>
      <c r="V262" s="66"/>
      <c r="W262" s="65"/>
      <c r="X262" s="64">
        <f>SUM(X66:X98)</f>
        <v>0</v>
      </c>
      <c r="Z262" s="101"/>
      <c r="AA262" s="100"/>
      <c r="AB262" s="100"/>
      <c r="AC262" s="100"/>
      <c r="AD262" s="99"/>
      <c r="AE262" s="68"/>
      <c r="AF262" s="65"/>
      <c r="AG262" s="64"/>
      <c r="AH262" s="66"/>
      <c r="AI262" s="66"/>
      <c r="AJ262" s="66"/>
      <c r="AK262" s="66"/>
      <c r="AL262" s="66"/>
      <c r="AM262" s="66"/>
      <c r="AN262" s="65"/>
      <c r="AO262" s="64">
        <f>SUM(AO66:AO98)</f>
        <v>0</v>
      </c>
      <c r="AQ262" s="97"/>
      <c r="AR262" s="96"/>
      <c r="AS262" s="96"/>
      <c r="AT262" s="96"/>
      <c r="AU262" s="96"/>
      <c r="AV262" s="67"/>
      <c r="AW262" s="65"/>
      <c r="AX262" s="64"/>
      <c r="AY262" s="66"/>
      <c r="AZ262" s="66"/>
      <c r="BA262" s="66"/>
      <c r="BB262" s="66"/>
      <c r="BC262" s="66"/>
      <c r="BD262" s="66"/>
      <c r="BE262" s="65"/>
      <c r="BF262" s="64"/>
      <c r="BH262" s="97"/>
      <c r="BI262" s="96"/>
      <c r="BJ262" s="96"/>
      <c r="BK262" s="96"/>
      <c r="BL262" s="96"/>
      <c r="BM262" s="67"/>
      <c r="BN262" s="65"/>
      <c r="BO262" s="64">
        <f>SUM(BO66:BO98)</f>
        <v>0</v>
      </c>
      <c r="BP262" s="66"/>
      <c r="BQ262" s="66"/>
      <c r="BR262" s="66"/>
      <c r="BS262" s="66"/>
      <c r="BT262" s="66"/>
      <c r="BU262" s="66"/>
      <c r="BV262" s="65"/>
      <c r="BW262" s="64" t="e">
        <f>SUM(BW66:BW98)</f>
        <v>#REF!</v>
      </c>
      <c r="BY262" s="97"/>
      <c r="BZ262" s="96"/>
      <c r="CA262" s="96"/>
      <c r="CB262" s="96"/>
      <c r="CC262" s="96"/>
      <c r="CD262" s="67"/>
      <c r="CE262" s="65"/>
      <c r="CF262" s="64">
        <f>SUM(CF66:CF98)</f>
        <v>0</v>
      </c>
      <c r="CG262" s="66"/>
      <c r="CH262" s="66"/>
      <c r="CI262" s="66"/>
      <c r="CJ262" s="66"/>
      <c r="CK262" s="66"/>
      <c r="CL262" s="66"/>
      <c r="CM262" s="65"/>
      <c r="CN262" s="64" t="e">
        <f>SUM(CN66:CN98)</f>
        <v>#REF!</v>
      </c>
      <c r="CP262" s="14"/>
      <c r="CQ262" s="45">
        <f>SUMIF(I$1:CO$1,1,I262:CO262)</f>
        <v>0</v>
      </c>
      <c r="CR262" s="6"/>
      <c r="CS262" s="44" t="e">
        <f>SUMIF(I$1:CO$1,2,I262:CO262)</f>
        <v>#REF!</v>
      </c>
      <c r="CU262" s="44"/>
    </row>
    <row r="263" spans="1:102" ht="15" customHeight="1" x14ac:dyDescent="0.25">
      <c r="A263" s="116"/>
      <c r="B263" s="133"/>
      <c r="C263" s="123"/>
      <c r="D263" s="122" t="s">
        <v>141</v>
      </c>
      <c r="E263" s="132" t="s">
        <v>106</v>
      </c>
      <c r="F263" s="118"/>
      <c r="G263" s="118"/>
      <c r="I263" s="101"/>
      <c r="J263" s="100"/>
      <c r="K263" s="100"/>
      <c r="L263" s="100"/>
      <c r="M263" s="99"/>
      <c r="N263" s="68"/>
      <c r="O263" s="65"/>
      <c r="P263" s="64">
        <f>SUM(P100:P119)</f>
        <v>0</v>
      </c>
      <c r="Q263" s="66"/>
      <c r="R263" s="66"/>
      <c r="S263" s="66"/>
      <c r="T263" s="66"/>
      <c r="U263" s="66"/>
      <c r="V263" s="66"/>
      <c r="W263" s="65"/>
      <c r="X263" s="64">
        <f>SUM(X100:X119)</f>
        <v>0</v>
      </c>
      <c r="Z263" s="101"/>
      <c r="AA263" s="100"/>
      <c r="AB263" s="100"/>
      <c r="AC263" s="100"/>
      <c r="AD263" s="99"/>
      <c r="AE263" s="68"/>
      <c r="AF263" s="65"/>
      <c r="AG263" s="64"/>
      <c r="AH263" s="66"/>
      <c r="AI263" s="66"/>
      <c r="AJ263" s="66"/>
      <c r="AK263" s="66"/>
      <c r="AL263" s="66"/>
      <c r="AM263" s="66"/>
      <c r="AN263" s="65"/>
      <c r="AO263" s="64">
        <f>SUM(AO100:AO119)</f>
        <v>0</v>
      </c>
      <c r="AQ263" s="97"/>
      <c r="AR263" s="96"/>
      <c r="AS263" s="96"/>
      <c r="AT263" s="96"/>
      <c r="AU263" s="96"/>
      <c r="AV263" s="67"/>
      <c r="AW263" s="65"/>
      <c r="AX263" s="64"/>
      <c r="AY263" s="66"/>
      <c r="AZ263" s="66"/>
      <c r="BA263" s="66"/>
      <c r="BB263" s="66"/>
      <c r="BC263" s="66"/>
      <c r="BD263" s="66"/>
      <c r="BE263" s="65"/>
      <c r="BF263" s="64"/>
      <c r="BH263" s="97"/>
      <c r="BI263" s="96"/>
      <c r="BJ263" s="96"/>
      <c r="BK263" s="96"/>
      <c r="BL263" s="96"/>
      <c r="BM263" s="67"/>
      <c r="BN263" s="65"/>
      <c r="BO263" s="64">
        <f>SUM(BO100:BO119)</f>
        <v>0</v>
      </c>
      <c r="BP263" s="66"/>
      <c r="BQ263" s="66"/>
      <c r="BR263" s="66"/>
      <c r="BS263" s="66"/>
      <c r="BT263" s="66"/>
      <c r="BU263" s="66"/>
      <c r="BV263" s="65"/>
      <c r="BW263" s="64" t="e">
        <f>SUM(BW100:BW119)</f>
        <v>#REF!</v>
      </c>
      <c r="BY263" s="97"/>
      <c r="BZ263" s="96"/>
      <c r="CA263" s="96"/>
      <c r="CB263" s="96"/>
      <c r="CC263" s="96"/>
      <c r="CD263" s="67"/>
      <c r="CE263" s="65"/>
      <c r="CF263" s="64">
        <f>SUM(CF100:CF119)</f>
        <v>0</v>
      </c>
      <c r="CG263" s="66"/>
      <c r="CH263" s="66"/>
      <c r="CI263" s="66"/>
      <c r="CJ263" s="66"/>
      <c r="CK263" s="66"/>
      <c r="CL263" s="66"/>
      <c r="CM263" s="65"/>
      <c r="CN263" s="64" t="e">
        <f>SUM(CN100:CN119)</f>
        <v>#REF!</v>
      </c>
      <c r="CP263" s="14"/>
      <c r="CQ263" s="45">
        <f>SUMIF(I$1:CO$1,1,I263:CO263)</f>
        <v>0</v>
      </c>
      <c r="CR263" s="6"/>
      <c r="CS263" s="44" t="e">
        <f>SUMIF(I$1:CO$1,2,I263:CO263)</f>
        <v>#REF!</v>
      </c>
      <c r="CU263" s="44"/>
      <c r="CX263" s="2"/>
    </row>
    <row r="264" spans="1:102" ht="15" customHeight="1" x14ac:dyDescent="0.25">
      <c r="A264" s="116"/>
      <c r="B264" s="133"/>
      <c r="C264" s="123"/>
      <c r="D264" s="122" t="s">
        <v>140</v>
      </c>
      <c r="E264" s="132" t="s">
        <v>106</v>
      </c>
      <c r="F264" s="118"/>
      <c r="G264" s="118"/>
      <c r="I264" s="101"/>
      <c r="J264" s="100"/>
      <c r="K264" s="100"/>
      <c r="L264" s="100"/>
      <c r="M264" s="99"/>
      <c r="N264" s="68"/>
      <c r="O264" s="65"/>
      <c r="P264" s="64">
        <f>SUM(P130:P157)</f>
        <v>0</v>
      </c>
      <c r="Q264" s="66"/>
      <c r="R264" s="66"/>
      <c r="S264" s="66"/>
      <c r="T264" s="66"/>
      <c r="U264" s="66"/>
      <c r="V264" s="66"/>
      <c r="W264" s="65"/>
      <c r="X264" s="64">
        <f>SUM(X130:X157)</f>
        <v>0</v>
      </c>
      <c r="Z264" s="101"/>
      <c r="AA264" s="100"/>
      <c r="AB264" s="100"/>
      <c r="AC264" s="100"/>
      <c r="AD264" s="99"/>
      <c r="AE264" s="68"/>
      <c r="AF264" s="65"/>
      <c r="AG264" s="64"/>
      <c r="AH264" s="66"/>
      <c r="AI264" s="66"/>
      <c r="AJ264" s="66"/>
      <c r="AK264" s="66"/>
      <c r="AL264" s="66"/>
      <c r="AM264" s="66"/>
      <c r="AN264" s="65"/>
      <c r="AO264" s="64">
        <f>SUM(AO130:AO157)</f>
        <v>0</v>
      </c>
      <c r="AQ264" s="97"/>
      <c r="AR264" s="96"/>
      <c r="AS264" s="96"/>
      <c r="AT264" s="96"/>
      <c r="AU264" s="96"/>
      <c r="AV264" s="67"/>
      <c r="AW264" s="65"/>
      <c r="AX264" s="64"/>
      <c r="AY264" s="66"/>
      <c r="AZ264" s="66"/>
      <c r="BA264" s="66"/>
      <c r="BB264" s="66"/>
      <c r="BC264" s="66"/>
      <c r="BD264" s="66"/>
      <c r="BE264" s="65"/>
      <c r="BF264" s="64"/>
      <c r="BH264" s="97"/>
      <c r="BI264" s="96"/>
      <c r="BJ264" s="96"/>
      <c r="BK264" s="96"/>
      <c r="BL264" s="96"/>
      <c r="BM264" s="67"/>
      <c r="BN264" s="65"/>
      <c r="BO264" s="64">
        <f>SUM(BO130:BO157)</f>
        <v>0</v>
      </c>
      <c r="BP264" s="66"/>
      <c r="BQ264" s="66"/>
      <c r="BR264" s="66"/>
      <c r="BS264" s="66"/>
      <c r="BT264" s="66"/>
      <c r="BU264" s="66"/>
      <c r="BV264" s="65"/>
      <c r="BW264" s="64" t="e">
        <f>SUM(BW130:BW157)</f>
        <v>#REF!</v>
      </c>
      <c r="BY264" s="97"/>
      <c r="BZ264" s="96"/>
      <c r="CA264" s="96"/>
      <c r="CB264" s="96"/>
      <c r="CC264" s="96"/>
      <c r="CD264" s="67"/>
      <c r="CE264" s="65"/>
      <c r="CF264" s="64">
        <f>SUM(CF130:CF157)</f>
        <v>0</v>
      </c>
      <c r="CG264" s="66"/>
      <c r="CH264" s="66"/>
      <c r="CI264" s="66"/>
      <c r="CJ264" s="66"/>
      <c r="CK264" s="66"/>
      <c r="CL264" s="66"/>
      <c r="CM264" s="65"/>
      <c r="CN264" s="64" t="e">
        <f>SUM(CN130:CN157)</f>
        <v>#REF!</v>
      </c>
      <c r="CP264" s="14"/>
      <c r="CQ264" s="45">
        <f>SUMIF(I$1:CO$1,1,I264:CO264)</f>
        <v>0</v>
      </c>
      <c r="CR264" s="6"/>
      <c r="CS264" s="44" t="e">
        <f>SUMIF(I$1:CO$1,2,I264:CO264)</f>
        <v>#REF!</v>
      </c>
      <c r="CU264" s="44"/>
    </row>
    <row r="265" spans="1:102" ht="15" customHeight="1" thickBot="1" x14ac:dyDescent="0.3">
      <c r="A265" s="116"/>
      <c r="B265" s="133"/>
      <c r="C265" s="123"/>
      <c r="D265" s="122" t="s">
        <v>139</v>
      </c>
      <c r="E265" s="132" t="s">
        <v>106</v>
      </c>
      <c r="F265" s="118"/>
      <c r="G265" s="118"/>
      <c r="I265" s="101"/>
      <c r="J265" s="100"/>
      <c r="K265" s="100"/>
      <c r="L265" s="100"/>
      <c r="M265" s="99"/>
      <c r="N265" s="68"/>
      <c r="O265" s="65"/>
      <c r="P265" s="64">
        <f>SUM(P166:P174)</f>
        <v>0</v>
      </c>
      <c r="Q265" s="66"/>
      <c r="R265" s="66"/>
      <c r="S265" s="66"/>
      <c r="T265" s="66"/>
      <c r="U265" s="66"/>
      <c r="V265" s="66"/>
      <c r="W265" s="65"/>
      <c r="X265" s="64">
        <f>SUM(X166:X174)</f>
        <v>0</v>
      </c>
      <c r="Z265" s="101"/>
      <c r="AA265" s="100"/>
      <c r="AB265" s="100"/>
      <c r="AC265" s="100"/>
      <c r="AD265" s="99"/>
      <c r="AE265" s="68"/>
      <c r="AF265" s="65"/>
      <c r="AG265" s="64"/>
      <c r="AH265" s="66"/>
      <c r="AI265" s="66"/>
      <c r="AJ265" s="66"/>
      <c r="AK265" s="66"/>
      <c r="AL265" s="66"/>
      <c r="AM265" s="66"/>
      <c r="AN265" s="65"/>
      <c r="AO265" s="64">
        <f>SUM(AO166:AO174)</f>
        <v>0</v>
      </c>
      <c r="AQ265" s="97"/>
      <c r="AR265" s="96"/>
      <c r="AS265" s="96"/>
      <c r="AT265" s="96"/>
      <c r="AU265" s="96"/>
      <c r="AV265" s="67"/>
      <c r="AW265" s="65"/>
      <c r="AX265" s="64"/>
      <c r="AY265" s="66"/>
      <c r="AZ265" s="66"/>
      <c r="BA265" s="66"/>
      <c r="BB265" s="66"/>
      <c r="BC265" s="66"/>
      <c r="BD265" s="66"/>
      <c r="BE265" s="65"/>
      <c r="BF265" s="64"/>
      <c r="BH265" s="97"/>
      <c r="BI265" s="96"/>
      <c r="BJ265" s="96"/>
      <c r="BK265" s="96"/>
      <c r="BL265" s="96"/>
      <c r="BM265" s="129"/>
      <c r="BN265" s="65"/>
      <c r="BO265" s="64">
        <f>SUM(BO166:BO174)</f>
        <v>0</v>
      </c>
      <c r="BP265" s="66"/>
      <c r="BQ265" s="66"/>
      <c r="BR265" s="66"/>
      <c r="BS265" s="66"/>
      <c r="BT265" s="66"/>
      <c r="BU265" s="66"/>
      <c r="BV265" s="65"/>
      <c r="BW265" s="64" t="e">
        <f>SUM(BW166:BW174)</f>
        <v>#REF!</v>
      </c>
      <c r="BY265" s="97"/>
      <c r="BZ265" s="96"/>
      <c r="CA265" s="96"/>
      <c r="CB265" s="96"/>
      <c r="CC265" s="96"/>
      <c r="CD265" s="67"/>
      <c r="CE265" s="65"/>
      <c r="CF265" s="64">
        <f>SUM(CF166:CF174)</f>
        <v>0</v>
      </c>
      <c r="CG265" s="66"/>
      <c r="CH265" s="66"/>
      <c r="CI265" s="66"/>
      <c r="CJ265" s="66"/>
      <c r="CK265" s="66"/>
      <c r="CL265" s="66"/>
      <c r="CM265" s="65"/>
      <c r="CN265" s="64" t="e">
        <f>SUM(CN166:CN174)</f>
        <v>#REF!</v>
      </c>
      <c r="CP265" s="14"/>
      <c r="CQ265" s="45">
        <f>SUMIF(I$1:CO$1,1,I265:CO265)</f>
        <v>0</v>
      </c>
      <c r="CR265" s="6"/>
      <c r="CS265" s="44" t="e">
        <f>SUMIF(I$1:CO$1,2,I265:CO265)</f>
        <v>#REF!</v>
      </c>
      <c r="CU265" s="44"/>
    </row>
    <row r="266" spans="1:102" ht="15" customHeight="1" x14ac:dyDescent="0.25">
      <c r="A266" s="116"/>
      <c r="B266" s="133"/>
      <c r="C266" s="123"/>
      <c r="D266" s="122" t="s">
        <v>138</v>
      </c>
      <c r="E266" s="132" t="s">
        <v>106</v>
      </c>
      <c r="F266" s="118"/>
      <c r="G266" s="118"/>
      <c r="I266" s="101"/>
      <c r="J266" s="100"/>
      <c r="K266" s="100"/>
      <c r="L266" s="100"/>
      <c r="M266" s="99"/>
      <c r="N266" s="68"/>
      <c r="O266" s="65"/>
      <c r="P266" s="64">
        <f>SUM(P176:P191)</f>
        <v>0</v>
      </c>
      <c r="Q266" s="66"/>
      <c r="R266" s="66"/>
      <c r="S266" s="66"/>
      <c r="T266" s="66"/>
      <c r="U266" s="66"/>
      <c r="V266" s="66"/>
      <c r="W266" s="65"/>
      <c r="X266" s="64">
        <f>SUM(X176:X191)</f>
        <v>0</v>
      </c>
      <c r="Z266" s="101"/>
      <c r="AA266" s="100"/>
      <c r="AB266" s="100"/>
      <c r="AC266" s="100"/>
      <c r="AD266" s="99"/>
      <c r="AE266" s="68"/>
      <c r="AF266" s="65"/>
      <c r="AG266" s="64"/>
      <c r="AH266" s="66"/>
      <c r="AI266" s="66"/>
      <c r="AJ266" s="66"/>
      <c r="AK266" s="66"/>
      <c r="AL266" s="66"/>
      <c r="AM266" s="66"/>
      <c r="AN266" s="65"/>
      <c r="AO266" s="64">
        <f>SUM(AO176:AO191)</f>
        <v>0</v>
      </c>
      <c r="AQ266" s="97"/>
      <c r="AR266" s="96"/>
      <c r="AS266" s="96"/>
      <c r="AT266" s="96"/>
      <c r="AU266" s="96"/>
      <c r="AV266" s="67"/>
      <c r="AW266" s="65"/>
      <c r="AX266" s="64"/>
      <c r="AY266" s="66"/>
      <c r="AZ266" s="66"/>
      <c r="BA266" s="66"/>
      <c r="BB266" s="66"/>
      <c r="BC266" s="66"/>
      <c r="BD266" s="66"/>
      <c r="BE266" s="65"/>
      <c r="BF266" s="64"/>
      <c r="BH266" s="97"/>
      <c r="BI266" s="96"/>
      <c r="BJ266" s="96"/>
      <c r="BK266" s="96"/>
      <c r="BL266" s="96"/>
      <c r="BM266" s="134"/>
      <c r="BN266" s="65"/>
      <c r="BO266" s="64">
        <f>SUM(BO176:BO191)</f>
        <v>0</v>
      </c>
      <c r="BP266" s="66"/>
      <c r="BQ266" s="66"/>
      <c r="BR266" s="66"/>
      <c r="BS266" s="66"/>
      <c r="BT266" s="66"/>
      <c r="BU266" s="66"/>
      <c r="BV266" s="65"/>
      <c r="BW266" s="64" t="e">
        <f>SUM(BW176:BW191)</f>
        <v>#REF!</v>
      </c>
      <c r="BY266" s="97"/>
      <c r="BZ266" s="96"/>
      <c r="CA266" s="96"/>
      <c r="CB266" s="96"/>
      <c r="CC266" s="96"/>
      <c r="CD266" s="67"/>
      <c r="CE266" s="65"/>
      <c r="CF266" s="64">
        <f>SUM(CF176:CF191)</f>
        <v>0</v>
      </c>
      <c r="CG266" s="66"/>
      <c r="CH266" s="66"/>
      <c r="CI266" s="66"/>
      <c r="CJ266" s="66"/>
      <c r="CK266" s="66"/>
      <c r="CL266" s="66"/>
      <c r="CM266" s="65"/>
      <c r="CN266" s="64" t="e">
        <f>SUM(CN176:CN191)</f>
        <v>#REF!</v>
      </c>
      <c r="CP266" s="14"/>
      <c r="CQ266" s="45">
        <f>SUMIF(I$1:CO$1,1,I266:CO266)</f>
        <v>0</v>
      </c>
      <c r="CR266" s="6"/>
      <c r="CS266" s="44" t="e">
        <f>SUMIF(I$1:CO$1,2,I266:CO266)</f>
        <v>#REF!</v>
      </c>
      <c r="CU266" s="44"/>
    </row>
    <row r="267" spans="1:102" ht="15" customHeight="1" x14ac:dyDescent="0.25">
      <c r="A267" s="116"/>
      <c r="B267" s="133"/>
      <c r="C267" s="123"/>
      <c r="D267" s="122" t="s">
        <v>137</v>
      </c>
      <c r="E267" s="132" t="s">
        <v>106</v>
      </c>
      <c r="F267" s="118"/>
      <c r="G267" s="118"/>
      <c r="I267" s="101"/>
      <c r="J267" s="100"/>
      <c r="K267" s="100"/>
      <c r="L267" s="100"/>
      <c r="M267" s="99"/>
      <c r="N267" s="68"/>
      <c r="O267" s="65"/>
      <c r="P267" s="64">
        <f>SUM(P215:P223)</f>
        <v>0</v>
      </c>
      <c r="Q267" s="66"/>
      <c r="R267" s="66"/>
      <c r="S267" s="66"/>
      <c r="T267" s="66"/>
      <c r="U267" s="66"/>
      <c r="V267" s="66"/>
      <c r="W267" s="65"/>
      <c r="X267" s="64">
        <f>SUM(X215:X223)</f>
        <v>0</v>
      </c>
      <c r="Z267" s="101"/>
      <c r="AA267" s="100"/>
      <c r="AB267" s="100"/>
      <c r="AC267" s="100"/>
      <c r="AD267" s="99"/>
      <c r="AE267" s="68"/>
      <c r="AF267" s="65"/>
      <c r="AG267" s="64"/>
      <c r="AH267" s="66"/>
      <c r="AI267" s="66"/>
      <c r="AJ267" s="66"/>
      <c r="AK267" s="66"/>
      <c r="AL267" s="66"/>
      <c r="AM267" s="66"/>
      <c r="AN267" s="65"/>
      <c r="AO267" s="64">
        <f>SUM(AO215:AO223)</f>
        <v>0</v>
      </c>
      <c r="AQ267" s="97"/>
      <c r="AR267" s="96"/>
      <c r="AS267" s="96"/>
      <c r="AT267" s="96"/>
      <c r="AU267" s="96"/>
      <c r="AV267" s="67"/>
      <c r="AW267" s="65"/>
      <c r="AX267" s="64"/>
      <c r="AY267" s="66"/>
      <c r="AZ267" s="66"/>
      <c r="BA267" s="66"/>
      <c r="BB267" s="66"/>
      <c r="BC267" s="66"/>
      <c r="BD267" s="66"/>
      <c r="BE267" s="65"/>
      <c r="BF267" s="64"/>
      <c r="BH267" s="97"/>
      <c r="BI267" s="96"/>
      <c r="BJ267" s="96"/>
      <c r="BK267" s="96"/>
      <c r="BL267" s="96"/>
      <c r="BM267" s="67"/>
      <c r="BN267" s="65"/>
      <c r="BO267" s="64">
        <f>SUM(BO215:BO223)</f>
        <v>0</v>
      </c>
      <c r="BP267" s="66"/>
      <c r="BQ267" s="66"/>
      <c r="BR267" s="66"/>
      <c r="BS267" s="66"/>
      <c r="BT267" s="66"/>
      <c r="BU267" s="66"/>
      <c r="BV267" s="65"/>
      <c r="BW267" s="64" t="e">
        <f>SUM(BW215:BW223)</f>
        <v>#REF!</v>
      </c>
      <c r="BY267" s="97"/>
      <c r="BZ267" s="96"/>
      <c r="CA267" s="96"/>
      <c r="CB267" s="96"/>
      <c r="CC267" s="96"/>
      <c r="CD267" s="67"/>
      <c r="CE267" s="65"/>
      <c r="CF267" s="64">
        <f>SUM(CF215:CF223)</f>
        <v>0</v>
      </c>
      <c r="CG267" s="66"/>
      <c r="CH267" s="66"/>
      <c r="CI267" s="66"/>
      <c r="CJ267" s="66"/>
      <c r="CK267" s="66"/>
      <c r="CL267" s="66"/>
      <c r="CM267" s="65"/>
      <c r="CN267" s="64" t="e">
        <f>SUM(CN215:CN223)</f>
        <v>#REF!</v>
      </c>
      <c r="CP267" s="14"/>
      <c r="CQ267" s="45">
        <f>SUMIF(I$1:CO$1,1,I267:CO267)</f>
        <v>0</v>
      </c>
      <c r="CR267" s="6"/>
      <c r="CS267" s="44" t="e">
        <f>SUMIF(I$1:CO$1,2,I267:CO267)</f>
        <v>#REF!</v>
      </c>
      <c r="CU267" s="44"/>
    </row>
    <row r="268" spans="1:102" ht="15" customHeight="1" x14ac:dyDescent="0.25">
      <c r="A268" s="116"/>
      <c r="B268" s="133"/>
      <c r="C268" s="123"/>
      <c r="D268" s="122" t="s">
        <v>136</v>
      </c>
      <c r="E268" s="132" t="s">
        <v>106</v>
      </c>
      <c r="F268" s="118"/>
      <c r="G268" s="118"/>
      <c r="I268" s="101"/>
      <c r="J268" s="100"/>
      <c r="K268" s="100"/>
      <c r="L268" s="100"/>
      <c r="M268" s="99"/>
      <c r="N268" s="68"/>
      <c r="O268" s="65"/>
      <c r="P268" s="64">
        <f>SUM(P159:P164)</f>
        <v>0</v>
      </c>
      <c r="Q268" s="66"/>
      <c r="R268" s="66"/>
      <c r="S268" s="66"/>
      <c r="T268" s="66"/>
      <c r="U268" s="66"/>
      <c r="V268" s="66"/>
      <c r="W268" s="65"/>
      <c r="X268" s="64">
        <f>SUM(X159:X164)</f>
        <v>0</v>
      </c>
      <c r="Z268" s="101"/>
      <c r="AA268" s="100"/>
      <c r="AB268" s="100"/>
      <c r="AC268" s="100"/>
      <c r="AD268" s="99"/>
      <c r="AE268" s="68"/>
      <c r="AF268" s="65"/>
      <c r="AG268" s="64"/>
      <c r="AH268" s="66"/>
      <c r="AI268" s="66"/>
      <c r="AJ268" s="66"/>
      <c r="AK268" s="66"/>
      <c r="AL268" s="66"/>
      <c r="AM268" s="66"/>
      <c r="AN268" s="65"/>
      <c r="AO268" s="64">
        <f>SUM(AO159:AO164)</f>
        <v>0</v>
      </c>
      <c r="AQ268" s="97"/>
      <c r="AR268" s="96"/>
      <c r="AS268" s="96"/>
      <c r="AT268" s="96"/>
      <c r="AU268" s="96"/>
      <c r="AV268" s="67"/>
      <c r="AW268" s="65"/>
      <c r="AX268" s="64"/>
      <c r="AY268" s="66"/>
      <c r="AZ268" s="66"/>
      <c r="BA268" s="66"/>
      <c r="BB268" s="66"/>
      <c r="BC268" s="66"/>
      <c r="BD268" s="66"/>
      <c r="BE268" s="65"/>
      <c r="BF268" s="64"/>
      <c r="BH268" s="97"/>
      <c r="BI268" s="96"/>
      <c r="BJ268" s="96"/>
      <c r="BK268" s="96"/>
      <c r="BL268" s="96"/>
      <c r="BM268" s="67"/>
      <c r="BN268" s="65"/>
      <c r="BO268" s="64">
        <f>SUM(BO159:BO164)</f>
        <v>0</v>
      </c>
      <c r="BP268" s="66"/>
      <c r="BQ268" s="66"/>
      <c r="BR268" s="66"/>
      <c r="BS268" s="66"/>
      <c r="BT268" s="66"/>
      <c r="BU268" s="66"/>
      <c r="BV268" s="65"/>
      <c r="BW268" s="64" t="e">
        <f>SUM(BW159:BW164)</f>
        <v>#REF!</v>
      </c>
      <c r="BY268" s="97"/>
      <c r="BZ268" s="96"/>
      <c r="CA268" s="96"/>
      <c r="CB268" s="96"/>
      <c r="CC268" s="96"/>
      <c r="CD268" s="67"/>
      <c r="CE268" s="65"/>
      <c r="CF268" s="64">
        <f>SUM(CF159:CF164)</f>
        <v>0</v>
      </c>
      <c r="CG268" s="66"/>
      <c r="CH268" s="66"/>
      <c r="CI268" s="66"/>
      <c r="CJ268" s="66"/>
      <c r="CK268" s="66"/>
      <c r="CL268" s="66"/>
      <c r="CM268" s="65"/>
      <c r="CN268" s="64" t="e">
        <f>SUM(CN159:CN164)</f>
        <v>#REF!</v>
      </c>
      <c r="CP268" s="14"/>
      <c r="CQ268" s="45">
        <f>SUMIF(I$1:CO$1,1,I268:CO268)</f>
        <v>0</v>
      </c>
      <c r="CR268" s="6"/>
      <c r="CS268" s="44" t="e">
        <f>SUMIF(I$1:CO$1,2,I268:CO268)</f>
        <v>#REF!</v>
      </c>
      <c r="CU268" s="44"/>
    </row>
    <row r="269" spans="1:102" ht="15" customHeight="1" x14ac:dyDescent="0.25">
      <c r="A269" s="116"/>
      <c r="B269" s="133"/>
      <c r="C269" s="123"/>
      <c r="D269" s="122" t="s">
        <v>135</v>
      </c>
      <c r="E269" s="132" t="s">
        <v>106</v>
      </c>
      <c r="F269" s="118"/>
      <c r="G269" s="118"/>
      <c r="I269" s="101"/>
      <c r="J269" s="100"/>
      <c r="K269" s="100"/>
      <c r="L269" s="100"/>
      <c r="M269" s="99"/>
      <c r="N269" s="68"/>
      <c r="O269" s="65"/>
      <c r="P269" s="64">
        <f>SUM(P121:P128,P200:P213)</f>
        <v>0</v>
      </c>
      <c r="Q269" s="66"/>
      <c r="R269" s="66"/>
      <c r="S269" s="66"/>
      <c r="T269" s="66"/>
      <c r="U269" s="66"/>
      <c r="V269" s="66"/>
      <c r="W269" s="65"/>
      <c r="X269" s="64">
        <f>SUM(X121:X128,X200:X213)</f>
        <v>0</v>
      </c>
      <c r="Z269" s="101"/>
      <c r="AA269" s="100"/>
      <c r="AB269" s="100"/>
      <c r="AC269" s="100"/>
      <c r="AD269" s="99"/>
      <c r="AE269" s="68"/>
      <c r="AF269" s="65"/>
      <c r="AG269" s="64"/>
      <c r="AH269" s="66"/>
      <c r="AI269" s="66"/>
      <c r="AJ269" s="66"/>
      <c r="AK269" s="66"/>
      <c r="AL269" s="66"/>
      <c r="AM269" s="66"/>
      <c r="AN269" s="65"/>
      <c r="AO269" s="64">
        <f>SUM(AO121:AO128,AO200:AO213)</f>
        <v>0</v>
      </c>
      <c r="AQ269" s="97"/>
      <c r="AR269" s="96"/>
      <c r="AS269" s="96"/>
      <c r="AT269" s="96"/>
      <c r="AU269" s="96"/>
      <c r="AV269" s="67"/>
      <c r="AW269" s="65"/>
      <c r="AX269" s="64"/>
      <c r="AY269" s="66"/>
      <c r="AZ269" s="66"/>
      <c r="BA269" s="66"/>
      <c r="BB269" s="66"/>
      <c r="BC269" s="66"/>
      <c r="BD269" s="66"/>
      <c r="BE269" s="65"/>
      <c r="BF269" s="64"/>
      <c r="BH269" s="97"/>
      <c r="BI269" s="96"/>
      <c r="BJ269" s="96"/>
      <c r="BK269" s="96"/>
      <c r="BL269" s="96"/>
      <c r="BM269" s="67"/>
      <c r="BN269" s="65"/>
      <c r="BO269" s="64">
        <f>SUM(BO121:BO128,BO200:BO213)</f>
        <v>0</v>
      </c>
      <c r="BP269" s="66"/>
      <c r="BQ269" s="66"/>
      <c r="BR269" s="66"/>
      <c r="BS269" s="66"/>
      <c r="BT269" s="66"/>
      <c r="BU269" s="66"/>
      <c r="BV269" s="65"/>
      <c r="BW269" s="64" t="e">
        <f>SUM(BW121:BW128,BW200:BW213)</f>
        <v>#REF!</v>
      </c>
      <c r="BY269" s="97"/>
      <c r="BZ269" s="96"/>
      <c r="CA269" s="96"/>
      <c r="CB269" s="96"/>
      <c r="CC269" s="96"/>
      <c r="CD269" s="67"/>
      <c r="CE269" s="65"/>
      <c r="CF269" s="64">
        <f>SUM(CF121:CF128,CF200:CF213)</f>
        <v>0</v>
      </c>
      <c r="CG269" s="66"/>
      <c r="CH269" s="66"/>
      <c r="CI269" s="66"/>
      <c r="CJ269" s="66"/>
      <c r="CK269" s="66"/>
      <c r="CL269" s="66"/>
      <c r="CM269" s="65"/>
      <c r="CN269" s="64" t="e">
        <f>SUM(CN121:CN128,CN200:CN213)</f>
        <v>#REF!</v>
      </c>
      <c r="CP269" s="14"/>
      <c r="CQ269" s="45">
        <f>SUMIF(I$1:CO$1,1,I269:CO269)</f>
        <v>0</v>
      </c>
      <c r="CR269" s="6"/>
      <c r="CS269" s="44" t="e">
        <f>SUMIF(I$1:CO$1,2,I269:CO269)</f>
        <v>#REF!</v>
      </c>
      <c r="CU269" s="44"/>
    </row>
    <row r="270" spans="1:102" ht="15" customHeight="1" thickBot="1" x14ac:dyDescent="0.3">
      <c r="A270" s="116"/>
      <c r="B270" s="131"/>
      <c r="C270" s="120"/>
      <c r="D270" s="119" t="s">
        <v>134</v>
      </c>
      <c r="E270" s="112" t="s">
        <v>106</v>
      </c>
      <c r="F270" s="118"/>
      <c r="G270" s="118"/>
      <c r="I270" s="101"/>
      <c r="J270" s="100"/>
      <c r="K270" s="100"/>
      <c r="L270" s="100"/>
      <c r="M270" s="99"/>
      <c r="N270" s="130"/>
      <c r="O270" s="127"/>
      <c r="P270" s="64">
        <f>SUM(P193:P198)</f>
        <v>0</v>
      </c>
      <c r="Q270" s="128"/>
      <c r="R270" s="128"/>
      <c r="S270" s="128"/>
      <c r="T270" s="128"/>
      <c r="U270" s="128"/>
      <c r="V270" s="128"/>
      <c r="W270" s="127"/>
      <c r="X270" s="64">
        <f>SUM(X193:X198)</f>
        <v>0</v>
      </c>
      <c r="Z270" s="101"/>
      <c r="AA270" s="100"/>
      <c r="AB270" s="100"/>
      <c r="AC270" s="100"/>
      <c r="AD270" s="99"/>
      <c r="AE270" s="130"/>
      <c r="AF270" s="127"/>
      <c r="AG270" s="64"/>
      <c r="AH270" s="128"/>
      <c r="AI270" s="128"/>
      <c r="AJ270" s="128"/>
      <c r="AK270" s="128"/>
      <c r="AL270" s="128"/>
      <c r="AM270" s="128"/>
      <c r="AN270" s="127"/>
      <c r="AO270" s="64">
        <f>SUM(AO193:AO198)</f>
        <v>0</v>
      </c>
      <c r="AQ270" s="97"/>
      <c r="AR270" s="96"/>
      <c r="AS270" s="96"/>
      <c r="AT270" s="96"/>
      <c r="AU270" s="96"/>
      <c r="AV270" s="129"/>
      <c r="AW270" s="127"/>
      <c r="AX270" s="64"/>
      <c r="AY270" s="128"/>
      <c r="AZ270" s="128"/>
      <c r="BA270" s="128"/>
      <c r="BB270" s="128"/>
      <c r="BC270" s="128"/>
      <c r="BD270" s="128"/>
      <c r="BE270" s="127"/>
      <c r="BF270" s="64"/>
      <c r="BH270" s="97"/>
      <c r="BI270" s="96"/>
      <c r="BJ270" s="96"/>
      <c r="BK270" s="96"/>
      <c r="BL270" s="96"/>
      <c r="BM270" s="129"/>
      <c r="BN270" s="127"/>
      <c r="BO270" s="64">
        <f>SUM(BO193:BO198)</f>
        <v>0</v>
      </c>
      <c r="BP270" s="128"/>
      <c r="BQ270" s="128"/>
      <c r="BR270" s="128"/>
      <c r="BS270" s="128"/>
      <c r="BT270" s="128"/>
      <c r="BU270" s="128"/>
      <c r="BV270" s="127"/>
      <c r="BW270" s="64" t="e">
        <f>SUM(BW193:BW198)</f>
        <v>#REF!</v>
      </c>
      <c r="BY270" s="97"/>
      <c r="BZ270" s="96"/>
      <c r="CA270" s="96"/>
      <c r="CB270" s="96"/>
      <c r="CC270" s="96"/>
      <c r="CD270" s="129"/>
      <c r="CE270" s="127"/>
      <c r="CF270" s="64">
        <f>SUM(CF193:CF198)</f>
        <v>0</v>
      </c>
      <c r="CG270" s="128"/>
      <c r="CH270" s="128"/>
      <c r="CI270" s="128"/>
      <c r="CJ270" s="128"/>
      <c r="CK270" s="128"/>
      <c r="CL270" s="128"/>
      <c r="CM270" s="127"/>
      <c r="CN270" s="64" t="e">
        <f>SUM(CN193:CN198)</f>
        <v>#REF!</v>
      </c>
      <c r="CP270" s="14"/>
      <c r="CQ270" s="45">
        <f>SUMIF(I$1:CO$1,1,I270:CO270)</f>
        <v>0</v>
      </c>
      <c r="CR270" s="6"/>
      <c r="CS270" s="44" t="e">
        <f>SUMIF(I$1:CO$1,2,I270:CO270)</f>
        <v>#REF!</v>
      </c>
      <c r="CU270" s="44"/>
    </row>
    <row r="271" spans="1:102" ht="21.75" customHeight="1" thickBot="1" x14ac:dyDescent="0.3">
      <c r="A271" s="116"/>
      <c r="B271" s="115" t="s">
        <v>133</v>
      </c>
      <c r="C271" s="105"/>
      <c r="D271" s="104" t="s">
        <v>132</v>
      </c>
      <c r="E271" s="103" t="s">
        <v>106</v>
      </c>
      <c r="F271" s="118"/>
      <c r="G271" s="118"/>
      <c r="I271" s="101"/>
      <c r="J271" s="100"/>
      <c r="K271" s="100"/>
      <c r="L271" s="100"/>
      <c r="M271" s="99"/>
      <c r="N271" s="98"/>
      <c r="O271" s="93"/>
      <c r="P271" s="92">
        <f>SUM(P259:P270)</f>
        <v>0</v>
      </c>
      <c r="Q271" s="94"/>
      <c r="R271" s="94"/>
      <c r="S271" s="94"/>
      <c r="T271" s="94"/>
      <c r="U271" s="94"/>
      <c r="V271" s="94"/>
      <c r="W271" s="93"/>
      <c r="X271" s="92">
        <f>SUM(X259:X270)</f>
        <v>0</v>
      </c>
      <c r="Z271" s="101"/>
      <c r="AA271" s="100"/>
      <c r="AB271" s="100"/>
      <c r="AC271" s="100"/>
      <c r="AD271" s="99"/>
      <c r="AE271" s="98"/>
      <c r="AF271" s="93"/>
      <c r="AG271" s="92"/>
      <c r="AH271" s="94"/>
      <c r="AI271" s="94"/>
      <c r="AJ271" s="94"/>
      <c r="AK271" s="94"/>
      <c r="AL271" s="94"/>
      <c r="AM271" s="94"/>
      <c r="AN271" s="93"/>
      <c r="AO271" s="92">
        <f>SUM(AO259:AO270)</f>
        <v>0</v>
      </c>
      <c r="AQ271" s="97"/>
      <c r="AR271" s="96"/>
      <c r="AS271" s="96"/>
      <c r="AT271" s="96"/>
      <c r="AU271" s="96"/>
      <c r="AV271" s="95"/>
      <c r="AW271" s="93"/>
      <c r="AX271" s="92"/>
      <c r="AY271" s="94"/>
      <c r="AZ271" s="94"/>
      <c r="BA271" s="94"/>
      <c r="BB271" s="94"/>
      <c r="BC271" s="94"/>
      <c r="BD271" s="94"/>
      <c r="BE271" s="93"/>
      <c r="BF271" s="92"/>
      <c r="BH271" s="97"/>
      <c r="BI271" s="96"/>
      <c r="BJ271" s="96"/>
      <c r="BK271" s="96"/>
      <c r="BL271" s="96"/>
      <c r="BM271" s="95"/>
      <c r="BN271" s="93"/>
      <c r="BO271" s="92">
        <f>SUM(BO259:BO270)</f>
        <v>0</v>
      </c>
      <c r="BP271" s="94"/>
      <c r="BQ271" s="94"/>
      <c r="BR271" s="94"/>
      <c r="BS271" s="94"/>
      <c r="BT271" s="94"/>
      <c r="BU271" s="94"/>
      <c r="BV271" s="93"/>
      <c r="BW271" s="92" t="e">
        <f>SUM(BW259:BW270)</f>
        <v>#REF!</v>
      </c>
      <c r="BY271" s="97"/>
      <c r="BZ271" s="96"/>
      <c r="CA271" s="96"/>
      <c r="CB271" s="96"/>
      <c r="CC271" s="96"/>
      <c r="CD271" s="95"/>
      <c r="CE271" s="93"/>
      <c r="CF271" s="92">
        <f>SUM(CF259:CF270)</f>
        <v>0</v>
      </c>
      <c r="CG271" s="94"/>
      <c r="CH271" s="94"/>
      <c r="CI271" s="94"/>
      <c r="CJ271" s="94"/>
      <c r="CK271" s="94"/>
      <c r="CL271" s="94"/>
      <c r="CM271" s="93"/>
      <c r="CN271" s="92" t="e">
        <f>SUM(CN259:CN270)</f>
        <v>#REF!</v>
      </c>
      <c r="CP271" s="14"/>
      <c r="CQ271" s="91">
        <f>SUMIF(I$1:CO$1,1,I271:CO271)</f>
        <v>0</v>
      </c>
      <c r="CR271" s="6"/>
      <c r="CS271" s="91" t="e">
        <f>SUMIF(I$1:CO$1,2,I271:CO271)</f>
        <v>#REF!</v>
      </c>
      <c r="CU271" s="91"/>
      <c r="CX271" s="126"/>
    </row>
    <row r="272" spans="1:102" ht="15" customHeight="1" x14ac:dyDescent="0.25">
      <c r="A272" s="116"/>
      <c r="B272" s="115"/>
      <c r="C272" s="125"/>
      <c r="D272" s="124" t="s">
        <v>131</v>
      </c>
      <c r="E272" s="121" t="s">
        <v>106</v>
      </c>
      <c r="F272" s="118"/>
      <c r="G272" s="118"/>
      <c r="I272" s="101"/>
      <c r="J272" s="100"/>
      <c r="K272" s="100"/>
      <c r="L272" s="100"/>
      <c r="M272" s="99"/>
      <c r="N272" s="52"/>
      <c r="O272" s="50"/>
      <c r="P272" s="84">
        <f>P250+P251</f>
        <v>0</v>
      </c>
      <c r="Q272" s="48"/>
      <c r="R272" s="48"/>
      <c r="S272" s="48"/>
      <c r="T272" s="48"/>
      <c r="U272" s="48"/>
      <c r="V272" s="48"/>
      <c r="W272" s="50"/>
      <c r="X272" s="84">
        <f>X250+X251</f>
        <v>0</v>
      </c>
      <c r="Z272" s="101"/>
      <c r="AA272" s="100"/>
      <c r="AB272" s="100"/>
      <c r="AC272" s="100"/>
      <c r="AD272" s="99"/>
      <c r="AE272" s="52"/>
      <c r="AF272" s="50"/>
      <c r="AG272" s="84"/>
      <c r="AH272" s="48"/>
      <c r="AI272" s="48"/>
      <c r="AJ272" s="48"/>
      <c r="AK272" s="48"/>
      <c r="AL272" s="48"/>
      <c r="AM272" s="48"/>
      <c r="AN272" s="50"/>
      <c r="AO272" s="84">
        <f>AO250+AO251</f>
        <v>0</v>
      </c>
      <c r="AQ272" s="97"/>
      <c r="AR272" s="96"/>
      <c r="AS272" s="96"/>
      <c r="AT272" s="96"/>
      <c r="AU272" s="96"/>
      <c r="AV272" s="51"/>
      <c r="AW272" s="50"/>
      <c r="AX272" s="84"/>
      <c r="AY272" s="48"/>
      <c r="AZ272" s="48"/>
      <c r="BA272" s="48"/>
      <c r="BB272" s="48"/>
      <c r="BC272" s="48"/>
      <c r="BD272" s="48"/>
      <c r="BE272" s="50"/>
      <c r="BF272" s="84"/>
      <c r="BH272" s="97"/>
      <c r="BI272" s="96"/>
      <c r="BJ272" s="96"/>
      <c r="BK272" s="96"/>
      <c r="BL272" s="96"/>
      <c r="BM272" s="51"/>
      <c r="BN272" s="50"/>
      <c r="BO272" s="84">
        <f>BO250+BO251</f>
        <v>0</v>
      </c>
      <c r="BP272" s="48"/>
      <c r="BQ272" s="48"/>
      <c r="BR272" s="48"/>
      <c r="BS272" s="48"/>
      <c r="BT272" s="48"/>
      <c r="BU272" s="48"/>
      <c r="BV272" s="50"/>
      <c r="BW272" s="84" t="e">
        <f>BW250+BW251</f>
        <v>#REF!</v>
      </c>
      <c r="BY272" s="97"/>
      <c r="BZ272" s="96"/>
      <c r="CA272" s="96"/>
      <c r="CB272" s="96"/>
      <c r="CC272" s="96"/>
      <c r="CD272" s="51"/>
      <c r="CE272" s="50"/>
      <c r="CF272" s="84">
        <f>CF250+CF251</f>
        <v>0</v>
      </c>
      <c r="CG272" s="48"/>
      <c r="CH272" s="48"/>
      <c r="CI272" s="48"/>
      <c r="CJ272" s="48"/>
      <c r="CK272" s="48"/>
      <c r="CL272" s="48"/>
      <c r="CM272" s="50"/>
      <c r="CN272" s="84" t="e">
        <f>CN250+CN251</f>
        <v>#REF!</v>
      </c>
      <c r="CP272" s="14"/>
      <c r="CQ272" s="83">
        <f>SUMIF(I$1:CO$1,1,I272:CO272)</f>
        <v>0</v>
      </c>
      <c r="CR272" s="6"/>
      <c r="CS272" s="44" t="e">
        <f>SUMIF(I$1:CO$1,2,I272:CO272)</f>
        <v>#REF!</v>
      </c>
      <c r="CU272" s="44"/>
      <c r="CX272" s="2"/>
    </row>
    <row r="273" spans="1:102" ht="15" customHeight="1" x14ac:dyDescent="0.25">
      <c r="A273" s="116"/>
      <c r="B273" s="115"/>
      <c r="C273" s="123"/>
      <c r="D273" s="122" t="s">
        <v>130</v>
      </c>
      <c r="E273" s="121" t="s">
        <v>106</v>
      </c>
      <c r="F273" s="118"/>
      <c r="G273" s="118"/>
      <c r="I273" s="101"/>
      <c r="J273" s="100"/>
      <c r="K273" s="100"/>
      <c r="L273" s="100"/>
      <c r="M273" s="99"/>
      <c r="N273" s="68"/>
      <c r="O273" s="65"/>
      <c r="P273" s="64">
        <f>SUM(P243:P249)</f>
        <v>0</v>
      </c>
      <c r="Q273" s="66"/>
      <c r="R273" s="66"/>
      <c r="S273" s="66"/>
      <c r="T273" s="66"/>
      <c r="U273" s="66"/>
      <c r="V273" s="66"/>
      <c r="W273" s="65"/>
      <c r="X273" s="64">
        <f>SUM(X243:X249)</f>
        <v>0</v>
      </c>
      <c r="Z273" s="101"/>
      <c r="AA273" s="100"/>
      <c r="AB273" s="100"/>
      <c r="AC273" s="100"/>
      <c r="AD273" s="99"/>
      <c r="AE273" s="68"/>
      <c r="AF273" s="65"/>
      <c r="AG273" s="64"/>
      <c r="AH273" s="66"/>
      <c r="AI273" s="66"/>
      <c r="AJ273" s="66"/>
      <c r="AK273" s="66"/>
      <c r="AL273" s="66"/>
      <c r="AM273" s="66"/>
      <c r="AN273" s="65"/>
      <c r="AO273" s="64">
        <f>SUM(AO243:AO249)</f>
        <v>0</v>
      </c>
      <c r="AQ273" s="97"/>
      <c r="AR273" s="96"/>
      <c r="AS273" s="96"/>
      <c r="AT273" s="96"/>
      <c r="AU273" s="96"/>
      <c r="AV273" s="67"/>
      <c r="AW273" s="65"/>
      <c r="AX273" s="64"/>
      <c r="AY273" s="66"/>
      <c r="AZ273" s="66"/>
      <c r="BA273" s="66"/>
      <c r="BB273" s="66"/>
      <c r="BC273" s="66"/>
      <c r="BD273" s="66"/>
      <c r="BE273" s="65"/>
      <c r="BF273" s="64"/>
      <c r="BH273" s="97"/>
      <c r="BI273" s="96"/>
      <c r="BJ273" s="96"/>
      <c r="BK273" s="96"/>
      <c r="BL273" s="96"/>
      <c r="BM273" s="67"/>
      <c r="BN273" s="65"/>
      <c r="BO273" s="64">
        <f>SUM(BO243:BO249)</f>
        <v>0</v>
      </c>
      <c r="BP273" s="66"/>
      <c r="BQ273" s="66"/>
      <c r="BR273" s="66"/>
      <c r="BS273" s="66"/>
      <c r="BT273" s="66"/>
      <c r="BU273" s="66"/>
      <c r="BV273" s="65"/>
      <c r="BW273" s="64">
        <f>SUM(BW243:BW249)</f>
        <v>0</v>
      </c>
      <c r="BY273" s="97"/>
      <c r="BZ273" s="96"/>
      <c r="CA273" s="96"/>
      <c r="CB273" s="96"/>
      <c r="CC273" s="96"/>
      <c r="CD273" s="67"/>
      <c r="CE273" s="65"/>
      <c r="CF273" s="64">
        <f>SUM(CF243:CF249)</f>
        <v>0</v>
      </c>
      <c r="CG273" s="66"/>
      <c r="CH273" s="66"/>
      <c r="CI273" s="66"/>
      <c r="CJ273" s="66"/>
      <c r="CK273" s="66"/>
      <c r="CL273" s="66"/>
      <c r="CM273" s="65"/>
      <c r="CN273" s="64">
        <f>SUM(CN243:CN249)</f>
        <v>0</v>
      </c>
      <c r="CP273" s="14"/>
      <c r="CQ273" s="45">
        <f>SUMIF(I$1:CO$1,1,I273:CO273)</f>
        <v>0</v>
      </c>
      <c r="CR273" s="6"/>
      <c r="CS273" s="44">
        <f>SUMIF(I$1:CO$1,2,I273:CO273)</f>
        <v>0</v>
      </c>
      <c r="CU273" s="44"/>
      <c r="CV273" s="2"/>
      <c r="CX273" s="2"/>
    </row>
    <row r="274" spans="1:102" ht="15" customHeight="1" x14ac:dyDescent="0.25">
      <c r="A274" s="116"/>
      <c r="B274" s="115"/>
      <c r="C274" s="123"/>
      <c r="D274" s="122" t="s">
        <v>129</v>
      </c>
      <c r="E274" s="121" t="s">
        <v>106</v>
      </c>
      <c r="F274" s="118"/>
      <c r="G274" s="118"/>
      <c r="I274" s="101"/>
      <c r="J274" s="100"/>
      <c r="K274" s="100"/>
      <c r="L274" s="100"/>
      <c r="M274" s="99"/>
      <c r="N274" s="68"/>
      <c r="O274" s="65"/>
      <c r="P274" s="64">
        <f>P252+P254+P255</f>
        <v>0</v>
      </c>
      <c r="Q274" s="66"/>
      <c r="R274" s="66"/>
      <c r="S274" s="66"/>
      <c r="T274" s="66"/>
      <c r="U274" s="66"/>
      <c r="V274" s="66"/>
      <c r="W274" s="65"/>
      <c r="X274" s="64">
        <f>X252+X254+X255</f>
        <v>0</v>
      </c>
      <c r="Z274" s="101"/>
      <c r="AA274" s="100"/>
      <c r="AB274" s="100"/>
      <c r="AC274" s="100"/>
      <c r="AD274" s="99"/>
      <c r="AE274" s="68"/>
      <c r="AF274" s="65"/>
      <c r="AG274" s="64"/>
      <c r="AH274" s="66"/>
      <c r="AI274" s="66"/>
      <c r="AJ274" s="66"/>
      <c r="AK274" s="66"/>
      <c r="AL274" s="66"/>
      <c r="AM274" s="66"/>
      <c r="AN274" s="65"/>
      <c r="AO274" s="64">
        <f>AO252+AO254+AO255</f>
        <v>0</v>
      </c>
      <c r="AQ274" s="97"/>
      <c r="AR274" s="96"/>
      <c r="AS274" s="96"/>
      <c r="AT274" s="96"/>
      <c r="AU274" s="96"/>
      <c r="AV274" s="67"/>
      <c r="AW274" s="65"/>
      <c r="AX274" s="64"/>
      <c r="AY274" s="66"/>
      <c r="AZ274" s="66"/>
      <c r="BA274" s="66"/>
      <c r="BB274" s="66"/>
      <c r="BC274" s="66"/>
      <c r="BD274" s="66"/>
      <c r="BE274" s="65"/>
      <c r="BF274" s="64"/>
      <c r="BH274" s="97"/>
      <c r="BI274" s="96"/>
      <c r="BJ274" s="96"/>
      <c r="BK274" s="96"/>
      <c r="BL274" s="96"/>
      <c r="BM274" s="67"/>
      <c r="BN274" s="65"/>
      <c r="BO274" s="64">
        <f>BO252+BO254+BO255</f>
        <v>0</v>
      </c>
      <c r="BP274" s="66"/>
      <c r="BQ274" s="66"/>
      <c r="BR274" s="66"/>
      <c r="BS274" s="66"/>
      <c r="BT274" s="66"/>
      <c r="BU274" s="66"/>
      <c r="BV274" s="65"/>
      <c r="BW274" s="64" t="e">
        <f>BW252+BW254+BW255</f>
        <v>#REF!</v>
      </c>
      <c r="BY274" s="97"/>
      <c r="BZ274" s="96"/>
      <c r="CA274" s="96"/>
      <c r="CB274" s="96"/>
      <c r="CC274" s="96"/>
      <c r="CD274" s="67"/>
      <c r="CE274" s="65"/>
      <c r="CF274" s="64">
        <f>CF252+CF254+CF255</f>
        <v>0</v>
      </c>
      <c r="CG274" s="66"/>
      <c r="CH274" s="66"/>
      <c r="CI274" s="66"/>
      <c r="CJ274" s="66"/>
      <c r="CK274" s="66"/>
      <c r="CL274" s="66"/>
      <c r="CM274" s="65"/>
      <c r="CN274" s="64" t="e">
        <f>CN252+CN254+CN255</f>
        <v>#REF!</v>
      </c>
      <c r="CP274" s="14"/>
      <c r="CQ274" s="45">
        <f>SUMIF(I$1:CO$1,1,I274:CO274)</f>
        <v>0</v>
      </c>
      <c r="CR274" s="6"/>
      <c r="CS274" s="44" t="e">
        <f>SUMIF(I$1:CO$1,2,I274:CO274)</f>
        <v>#REF!</v>
      </c>
      <c r="CU274" s="44"/>
      <c r="CV274" s="2"/>
      <c r="CX274" s="2"/>
    </row>
    <row r="275" spans="1:102" ht="15" customHeight="1" thickBot="1" x14ac:dyDescent="0.3">
      <c r="A275" s="116"/>
      <c r="B275" s="115"/>
      <c r="C275" s="120"/>
      <c r="D275" s="119" t="s">
        <v>128</v>
      </c>
      <c r="E275" s="112" t="s">
        <v>106</v>
      </c>
      <c r="F275" s="118"/>
      <c r="G275" s="118"/>
      <c r="I275" s="101"/>
      <c r="J275" s="100"/>
      <c r="K275" s="100"/>
      <c r="L275" s="100"/>
      <c r="M275" s="99"/>
      <c r="N275" s="34"/>
      <c r="O275" s="29"/>
      <c r="P275" s="117">
        <f>P253</f>
        <v>0</v>
      </c>
      <c r="Q275" s="30"/>
      <c r="R275" s="30"/>
      <c r="S275" s="30"/>
      <c r="T275" s="30"/>
      <c r="U275" s="30"/>
      <c r="V275" s="30"/>
      <c r="W275" s="29"/>
      <c r="X275" s="117">
        <f>X253</f>
        <v>0</v>
      </c>
      <c r="Z275" s="101"/>
      <c r="AA275" s="100"/>
      <c r="AB275" s="100"/>
      <c r="AC275" s="100"/>
      <c r="AD275" s="99"/>
      <c r="AE275" s="34"/>
      <c r="AF275" s="29"/>
      <c r="AG275" s="117"/>
      <c r="AH275" s="30"/>
      <c r="AI275" s="30"/>
      <c r="AJ275" s="30"/>
      <c r="AK275" s="30"/>
      <c r="AL275" s="30"/>
      <c r="AM275" s="30"/>
      <c r="AN275" s="29"/>
      <c r="AO275" s="117">
        <f>AO253</f>
        <v>0</v>
      </c>
      <c r="AQ275" s="97"/>
      <c r="AR275" s="96"/>
      <c r="AS275" s="96"/>
      <c r="AT275" s="96"/>
      <c r="AU275" s="96"/>
      <c r="AV275" s="31"/>
      <c r="AW275" s="29"/>
      <c r="AX275" s="117"/>
      <c r="AY275" s="30"/>
      <c r="AZ275" s="30"/>
      <c r="BA275" s="30"/>
      <c r="BB275" s="30"/>
      <c r="BC275" s="30"/>
      <c r="BD275" s="30"/>
      <c r="BE275" s="29"/>
      <c r="BF275" s="117"/>
      <c r="BH275" s="97"/>
      <c r="BI275" s="96"/>
      <c r="BJ275" s="96"/>
      <c r="BK275" s="96"/>
      <c r="BL275" s="96"/>
      <c r="BM275" s="31"/>
      <c r="BN275" s="29"/>
      <c r="BO275" s="117">
        <f>BO253</f>
        <v>0</v>
      </c>
      <c r="BP275" s="30"/>
      <c r="BQ275" s="30"/>
      <c r="BR275" s="30"/>
      <c r="BS275" s="30"/>
      <c r="BT275" s="30"/>
      <c r="BU275" s="30"/>
      <c r="BV275" s="29"/>
      <c r="BW275" s="117" t="e">
        <f>BW253</f>
        <v>#REF!</v>
      </c>
      <c r="BY275" s="97"/>
      <c r="BZ275" s="96"/>
      <c r="CA275" s="96"/>
      <c r="CB275" s="96"/>
      <c r="CC275" s="96"/>
      <c r="CD275" s="31"/>
      <c r="CE275" s="29"/>
      <c r="CF275" s="117">
        <f>CF253</f>
        <v>0</v>
      </c>
      <c r="CG275" s="30"/>
      <c r="CH275" s="30"/>
      <c r="CI275" s="30"/>
      <c r="CJ275" s="30"/>
      <c r="CK275" s="30"/>
      <c r="CL275" s="30"/>
      <c r="CM275" s="29"/>
      <c r="CN275" s="117" t="e">
        <f>CN253</f>
        <v>#REF!</v>
      </c>
      <c r="CP275" s="14"/>
      <c r="CQ275" s="63">
        <f>SUMIF(I$1:CO$1,1,I275:CO275)</f>
        <v>0</v>
      </c>
      <c r="CR275" s="6"/>
      <c r="CS275" s="44" t="e">
        <f>SUMIF(I$1:CO$1,2,I275:CO275)</f>
        <v>#REF!</v>
      </c>
      <c r="CU275" s="44"/>
      <c r="CV275" s="2"/>
      <c r="CX275" s="2">
        <f>CQ272+CQ273+CQ274+CQ275</f>
        <v>0</v>
      </c>
    </row>
    <row r="276" spans="1:102" ht="15" customHeight="1" thickBot="1" x14ac:dyDescent="0.3">
      <c r="A276" s="116"/>
      <c r="B276" s="115"/>
      <c r="C276" s="114" t="s">
        <v>127</v>
      </c>
      <c r="D276" s="113" t="s">
        <v>126</v>
      </c>
      <c r="E276" s="112" t="s">
        <v>125</v>
      </c>
      <c r="F276" s="111"/>
      <c r="G276" s="111"/>
      <c r="I276" s="101"/>
      <c r="J276" s="100"/>
      <c r="K276" s="100"/>
      <c r="L276" s="100"/>
      <c r="M276" s="99"/>
      <c r="N276" s="100"/>
      <c r="O276" s="110"/>
      <c r="P276" s="64">
        <f>P256</f>
        <v>0</v>
      </c>
      <c r="Q276" s="109"/>
      <c r="R276" s="109"/>
      <c r="S276" s="109"/>
      <c r="T276" s="109"/>
      <c r="U276" s="109"/>
      <c r="V276" s="109"/>
      <c r="W276" s="108"/>
      <c r="X276" s="64">
        <f>X256</f>
        <v>0</v>
      </c>
      <c r="Z276" s="101"/>
      <c r="AA276" s="100"/>
      <c r="AB276" s="100"/>
      <c r="AC276" s="100"/>
      <c r="AD276" s="99"/>
      <c r="AE276" s="100"/>
      <c r="AF276" s="110"/>
      <c r="AG276" s="64"/>
      <c r="AH276" s="109"/>
      <c r="AI276" s="109"/>
      <c r="AJ276" s="109"/>
      <c r="AK276" s="109"/>
      <c r="AL276" s="109"/>
      <c r="AM276" s="109"/>
      <c r="AN276" s="108"/>
      <c r="AO276" s="64">
        <f>AO256</f>
        <v>0</v>
      </c>
      <c r="AQ276" s="97"/>
      <c r="AR276" s="96"/>
      <c r="AS276" s="96"/>
      <c r="AT276" s="96"/>
      <c r="AU276" s="96"/>
      <c r="AV276" s="97"/>
      <c r="AW276" s="110"/>
      <c r="AX276" s="64"/>
      <c r="AY276" s="109"/>
      <c r="AZ276" s="109"/>
      <c r="BA276" s="109"/>
      <c r="BB276" s="109"/>
      <c r="BC276" s="109"/>
      <c r="BD276" s="109"/>
      <c r="BE276" s="108"/>
      <c r="BF276" s="64"/>
      <c r="BH276" s="97"/>
      <c r="BI276" s="96"/>
      <c r="BJ276" s="96"/>
      <c r="BK276" s="96"/>
      <c r="BL276" s="96"/>
      <c r="BM276" s="97"/>
      <c r="BN276" s="110"/>
      <c r="BO276" s="64">
        <f>BO256</f>
        <v>0</v>
      </c>
      <c r="BP276" s="109"/>
      <c r="BQ276" s="109"/>
      <c r="BR276" s="109"/>
      <c r="BS276" s="109"/>
      <c r="BT276" s="109"/>
      <c r="BU276" s="109"/>
      <c r="BV276" s="108"/>
      <c r="BW276" s="64" t="e">
        <f>BW256</f>
        <v>#REF!</v>
      </c>
      <c r="BY276" s="97"/>
      <c r="BZ276" s="96"/>
      <c r="CA276" s="96"/>
      <c r="CB276" s="96"/>
      <c r="CC276" s="96"/>
      <c r="CD276" s="97"/>
      <c r="CE276" s="110"/>
      <c r="CF276" s="64">
        <f>CF256</f>
        <v>0</v>
      </c>
      <c r="CG276" s="109"/>
      <c r="CH276" s="109"/>
      <c r="CI276" s="109"/>
      <c r="CJ276" s="109"/>
      <c r="CK276" s="109"/>
      <c r="CL276" s="109"/>
      <c r="CM276" s="108"/>
      <c r="CN276" s="64" t="e">
        <f>CN256</f>
        <v>#REF!</v>
      </c>
      <c r="CP276" s="14"/>
      <c r="CQ276" s="44">
        <f>SUMIF(I$1:CO$1,1,I276:CO276)</f>
        <v>0</v>
      </c>
      <c r="CR276" s="6"/>
      <c r="CS276" s="44" t="e">
        <f>SUMIF(I$1:CO$1,2,I276:CO276)</f>
        <v>#REF!</v>
      </c>
      <c r="CU276" s="44"/>
    </row>
    <row r="277" spans="1:102" ht="21.75" customHeight="1" thickBot="1" x14ac:dyDescent="0.3">
      <c r="A277" s="107"/>
      <c r="B277" s="106"/>
      <c r="C277" s="105"/>
      <c r="D277" s="104" t="s">
        <v>124</v>
      </c>
      <c r="E277" s="103" t="s">
        <v>106</v>
      </c>
      <c r="F277" s="102"/>
      <c r="G277" s="102"/>
      <c r="I277" s="101"/>
      <c r="J277" s="100"/>
      <c r="K277" s="100"/>
      <c r="L277" s="100"/>
      <c r="M277" s="99"/>
      <c r="N277" s="98"/>
      <c r="O277" s="93"/>
      <c r="P277" s="92">
        <f>SUM(P271:P276)</f>
        <v>0</v>
      </c>
      <c r="Q277" s="94"/>
      <c r="R277" s="94"/>
      <c r="S277" s="94"/>
      <c r="T277" s="94"/>
      <c r="U277" s="94"/>
      <c r="V277" s="94"/>
      <c r="W277" s="93"/>
      <c r="X277" s="92">
        <f>SUM(X271:X276)</f>
        <v>0</v>
      </c>
      <c r="Z277" s="101"/>
      <c r="AA277" s="100"/>
      <c r="AB277" s="100"/>
      <c r="AC277" s="100"/>
      <c r="AD277" s="99"/>
      <c r="AE277" s="98"/>
      <c r="AF277" s="93"/>
      <c r="AG277" s="92"/>
      <c r="AH277" s="94"/>
      <c r="AI277" s="94"/>
      <c r="AJ277" s="94"/>
      <c r="AK277" s="94"/>
      <c r="AL277" s="94"/>
      <c r="AM277" s="94"/>
      <c r="AN277" s="93"/>
      <c r="AO277" s="92">
        <f>SUM(AO271:AO276)</f>
        <v>0</v>
      </c>
      <c r="AQ277" s="97"/>
      <c r="AR277" s="96"/>
      <c r="AS277" s="96"/>
      <c r="AT277" s="96"/>
      <c r="AU277" s="96"/>
      <c r="AV277" s="95"/>
      <c r="AW277" s="93"/>
      <c r="AX277" s="92"/>
      <c r="AY277" s="94"/>
      <c r="AZ277" s="94"/>
      <c r="BA277" s="94"/>
      <c r="BB277" s="94"/>
      <c r="BC277" s="94"/>
      <c r="BD277" s="94"/>
      <c r="BE277" s="93"/>
      <c r="BF277" s="92"/>
      <c r="BH277" s="97"/>
      <c r="BI277" s="96"/>
      <c r="BJ277" s="96"/>
      <c r="BK277" s="96"/>
      <c r="BL277" s="96"/>
      <c r="BM277" s="95"/>
      <c r="BN277" s="93"/>
      <c r="BO277" s="92">
        <f>SUM(BO271:BO276)</f>
        <v>0</v>
      </c>
      <c r="BP277" s="94"/>
      <c r="BQ277" s="94"/>
      <c r="BR277" s="94"/>
      <c r="BS277" s="94"/>
      <c r="BT277" s="94"/>
      <c r="BU277" s="94"/>
      <c r="BV277" s="93"/>
      <c r="BW277" s="92" t="e">
        <f>SUM(BW271:BW276)</f>
        <v>#REF!</v>
      </c>
      <c r="BY277" s="97"/>
      <c r="BZ277" s="96"/>
      <c r="CA277" s="96"/>
      <c r="CB277" s="96"/>
      <c r="CC277" s="96"/>
      <c r="CD277" s="95"/>
      <c r="CE277" s="93"/>
      <c r="CF277" s="92">
        <f>SUM(CF271:CF276)</f>
        <v>0</v>
      </c>
      <c r="CG277" s="94"/>
      <c r="CH277" s="94"/>
      <c r="CI277" s="94"/>
      <c r="CJ277" s="94"/>
      <c r="CK277" s="94"/>
      <c r="CL277" s="94"/>
      <c r="CM277" s="93"/>
      <c r="CN277" s="92" t="e">
        <f>SUM(CN271:CN276)</f>
        <v>#REF!</v>
      </c>
      <c r="CP277" s="14"/>
      <c r="CQ277" s="91">
        <f>SUMIF(I$1:CO$1,1,I277:CO277)</f>
        <v>0</v>
      </c>
      <c r="CR277" s="6"/>
      <c r="CS277" s="91" t="e">
        <f>SUMIF(I$1:CO$1,2,I277:CO277)</f>
        <v>#REF!</v>
      </c>
      <c r="CU277" s="91"/>
    </row>
    <row r="278" spans="1:102" ht="6.75" customHeight="1" thickBot="1" x14ac:dyDescent="0.3">
      <c r="A278" s="26"/>
      <c r="B278" s="25"/>
      <c r="C278" s="23"/>
      <c r="D278" s="24"/>
      <c r="E278" s="23"/>
      <c r="F278" s="22"/>
      <c r="G278" s="22"/>
      <c r="I278" s="21"/>
      <c r="J278" s="20"/>
      <c r="K278" s="20"/>
      <c r="L278" s="20"/>
      <c r="M278" s="61"/>
      <c r="N278" s="17"/>
      <c r="O278" s="16"/>
      <c r="P278" s="17"/>
      <c r="Q278" s="16"/>
      <c r="R278" s="16"/>
      <c r="S278" s="16"/>
      <c r="T278" s="16"/>
      <c r="U278" s="16"/>
      <c r="V278" s="16"/>
      <c r="W278" s="16"/>
      <c r="X278" s="15"/>
      <c r="Z278" s="21"/>
      <c r="AA278" s="20"/>
      <c r="AB278" s="20"/>
      <c r="AC278" s="20"/>
      <c r="AD278" s="61"/>
      <c r="AE278" s="17"/>
      <c r="AF278" s="16"/>
      <c r="AG278" s="17"/>
      <c r="AH278" s="16"/>
      <c r="AI278" s="16"/>
      <c r="AJ278" s="16"/>
      <c r="AK278" s="16"/>
      <c r="AL278" s="16"/>
      <c r="AM278" s="16"/>
      <c r="AN278" s="16"/>
      <c r="AO278" s="15"/>
      <c r="AQ278" s="19"/>
      <c r="AR278" s="18"/>
      <c r="AS278" s="18"/>
      <c r="AT278" s="18"/>
      <c r="AU278" s="18"/>
      <c r="AV278" s="16"/>
      <c r="AW278" s="16"/>
      <c r="AX278" s="17"/>
      <c r="AY278" s="16"/>
      <c r="AZ278" s="16"/>
      <c r="BA278" s="16"/>
      <c r="BB278" s="16"/>
      <c r="BC278" s="16"/>
      <c r="BD278" s="16"/>
      <c r="BE278" s="16"/>
      <c r="BF278" s="15"/>
      <c r="BH278" s="19"/>
      <c r="BI278" s="18"/>
      <c r="BJ278" s="18"/>
      <c r="BK278" s="18"/>
      <c r="BL278" s="18"/>
      <c r="BM278" s="16"/>
      <c r="BN278" s="16"/>
      <c r="BO278" s="17"/>
      <c r="BP278" s="16"/>
      <c r="BQ278" s="16"/>
      <c r="BR278" s="16"/>
      <c r="BS278" s="16"/>
      <c r="BT278" s="16"/>
      <c r="BU278" s="16"/>
      <c r="BV278" s="16"/>
      <c r="BW278" s="15"/>
      <c r="BY278" s="19"/>
      <c r="BZ278" s="18"/>
      <c r="CA278" s="18"/>
      <c r="CB278" s="18"/>
      <c r="CC278" s="18"/>
      <c r="CD278" s="16"/>
      <c r="CE278" s="16"/>
      <c r="CF278" s="17"/>
      <c r="CG278" s="16"/>
      <c r="CH278" s="16"/>
      <c r="CI278" s="16"/>
      <c r="CJ278" s="16"/>
      <c r="CK278" s="16"/>
      <c r="CL278" s="16"/>
      <c r="CM278" s="16"/>
      <c r="CN278" s="15"/>
      <c r="CP278" s="14"/>
      <c r="CQ278" s="60"/>
      <c r="CR278" s="6"/>
      <c r="CS278" s="60"/>
      <c r="CU278" s="60"/>
    </row>
    <row r="279" spans="1:102" x14ac:dyDescent="0.25">
      <c r="A279" s="90" t="s">
        <v>123</v>
      </c>
      <c r="B279" s="89" t="s">
        <v>122</v>
      </c>
      <c r="C279" s="88" t="s">
        <v>121</v>
      </c>
      <c r="D279" s="87" t="s">
        <v>120</v>
      </c>
      <c r="E279" s="86" t="s">
        <v>106</v>
      </c>
      <c r="F279" s="85"/>
      <c r="G279" s="85"/>
      <c r="I279" s="37"/>
      <c r="J279" s="36"/>
      <c r="K279" s="36"/>
      <c r="L279" s="36"/>
      <c r="M279" s="53"/>
      <c r="N279" s="52"/>
      <c r="O279" s="50"/>
      <c r="P279" s="84">
        <f>SUM(P7:P23)</f>
        <v>0</v>
      </c>
      <c r="Q279" s="48"/>
      <c r="R279" s="48"/>
      <c r="S279" s="48"/>
      <c r="T279" s="48"/>
      <c r="U279" s="48"/>
      <c r="V279" s="48"/>
      <c r="W279" s="50"/>
      <c r="X279" s="84">
        <f>SUM(X7:X23)</f>
        <v>0</v>
      </c>
      <c r="Z279" s="37"/>
      <c r="AA279" s="36"/>
      <c r="AB279" s="36"/>
      <c r="AC279" s="36"/>
      <c r="AD279" s="53"/>
      <c r="AE279" s="52"/>
      <c r="AF279" s="50"/>
      <c r="AG279" s="84"/>
      <c r="AH279" s="48"/>
      <c r="AI279" s="48"/>
      <c r="AJ279" s="48"/>
      <c r="AK279" s="48"/>
      <c r="AL279" s="48"/>
      <c r="AM279" s="48"/>
      <c r="AN279" s="50"/>
      <c r="AO279" s="84">
        <f>SUM(AO7:AO23)</f>
        <v>0</v>
      </c>
      <c r="AQ279" s="33"/>
      <c r="AR279" s="32"/>
      <c r="AS279" s="32"/>
      <c r="AT279" s="32"/>
      <c r="AU279" s="32"/>
      <c r="AV279" s="51"/>
      <c r="AW279" s="50"/>
      <c r="AX279" s="84"/>
      <c r="AY279" s="48"/>
      <c r="AZ279" s="48"/>
      <c r="BA279" s="48"/>
      <c r="BB279" s="48"/>
      <c r="BC279" s="48"/>
      <c r="BD279" s="48"/>
      <c r="BE279" s="50"/>
      <c r="BF279" s="84"/>
      <c r="BH279" s="33"/>
      <c r="BI279" s="32"/>
      <c r="BJ279" s="32"/>
      <c r="BK279" s="32"/>
      <c r="BL279" s="32"/>
      <c r="BM279" s="51"/>
      <c r="BN279" s="50"/>
      <c r="BO279" s="84">
        <f>SUM(BO7:BO23)</f>
        <v>0</v>
      </c>
      <c r="BP279" s="48"/>
      <c r="BQ279" s="48"/>
      <c r="BR279" s="48"/>
      <c r="BS279" s="48"/>
      <c r="BT279" s="48"/>
      <c r="BU279" s="48"/>
      <c r="BV279" s="50"/>
      <c r="BW279" s="84" t="e">
        <f>SUM(BW7:BW23)</f>
        <v>#REF!</v>
      </c>
      <c r="BY279" s="33"/>
      <c r="BZ279" s="32"/>
      <c r="CA279" s="32"/>
      <c r="CB279" s="32"/>
      <c r="CC279" s="32"/>
      <c r="CD279" s="51"/>
      <c r="CE279" s="50"/>
      <c r="CF279" s="84">
        <f>SUM(CF7:CF23)</f>
        <v>0</v>
      </c>
      <c r="CG279" s="48"/>
      <c r="CH279" s="48"/>
      <c r="CI279" s="48"/>
      <c r="CJ279" s="48"/>
      <c r="CK279" s="48"/>
      <c r="CL279" s="48"/>
      <c r="CM279" s="50"/>
      <c r="CN279" s="84" t="e">
        <f>SUM(CN7:CN23)</f>
        <v>#REF!</v>
      </c>
      <c r="CP279" s="6"/>
      <c r="CQ279" s="83">
        <f>SUMIF(I$1:CO$1,1,I279:CO279)</f>
        <v>0</v>
      </c>
      <c r="CR279" s="6"/>
      <c r="CS279" s="82" t="e">
        <f>SUMIF(I$1:CO$1,2,I279:CO279)</f>
        <v>#REF!</v>
      </c>
      <c r="CU279" s="82"/>
    </row>
    <row r="280" spans="1:102" x14ac:dyDescent="0.25">
      <c r="A280" s="74"/>
      <c r="B280" s="81"/>
      <c r="C280" s="79" t="s">
        <v>119</v>
      </c>
      <c r="D280" s="78" t="s">
        <v>118</v>
      </c>
      <c r="E280" s="77" t="s">
        <v>106</v>
      </c>
      <c r="F280" s="69"/>
      <c r="G280" s="69"/>
      <c r="I280" s="37"/>
      <c r="J280" s="36"/>
      <c r="K280" s="36"/>
      <c r="L280" s="36"/>
      <c r="M280" s="53"/>
      <c r="N280" s="68"/>
      <c r="O280" s="65"/>
      <c r="P280" s="64">
        <f>SUM(P25:P40)</f>
        <v>0</v>
      </c>
      <c r="Q280" s="66"/>
      <c r="R280" s="66"/>
      <c r="S280" s="66"/>
      <c r="T280" s="66"/>
      <c r="U280" s="66"/>
      <c r="V280" s="66"/>
      <c r="W280" s="65"/>
      <c r="X280" s="64">
        <f>SUM(X25:X40)</f>
        <v>0</v>
      </c>
      <c r="Z280" s="37"/>
      <c r="AA280" s="36"/>
      <c r="AB280" s="36"/>
      <c r="AC280" s="36"/>
      <c r="AD280" s="53"/>
      <c r="AE280" s="68"/>
      <c r="AF280" s="65"/>
      <c r="AG280" s="64"/>
      <c r="AH280" s="66"/>
      <c r="AI280" s="66"/>
      <c r="AJ280" s="66"/>
      <c r="AK280" s="66"/>
      <c r="AL280" s="66"/>
      <c r="AM280" s="66"/>
      <c r="AN280" s="65"/>
      <c r="AO280" s="64">
        <f>SUM(AO25:AO40)</f>
        <v>0</v>
      </c>
      <c r="AQ280" s="33"/>
      <c r="AR280" s="32"/>
      <c r="AS280" s="32"/>
      <c r="AT280" s="32"/>
      <c r="AU280" s="32"/>
      <c r="AV280" s="67"/>
      <c r="AW280" s="65"/>
      <c r="AX280" s="64"/>
      <c r="AY280" s="66"/>
      <c r="AZ280" s="66"/>
      <c r="BA280" s="66"/>
      <c r="BB280" s="66"/>
      <c r="BC280" s="66"/>
      <c r="BD280" s="66"/>
      <c r="BE280" s="65"/>
      <c r="BF280" s="64"/>
      <c r="BH280" s="33"/>
      <c r="BI280" s="32"/>
      <c r="BJ280" s="32"/>
      <c r="BK280" s="32"/>
      <c r="BL280" s="32"/>
      <c r="BM280" s="67"/>
      <c r="BN280" s="65"/>
      <c r="BO280" s="64">
        <f>SUM(BO25:BO40)</f>
        <v>0</v>
      </c>
      <c r="BP280" s="66"/>
      <c r="BQ280" s="66"/>
      <c r="BR280" s="66"/>
      <c r="BS280" s="66"/>
      <c r="BT280" s="66"/>
      <c r="BU280" s="66"/>
      <c r="BV280" s="65"/>
      <c r="BW280" s="64" t="e">
        <f>SUM(BW25:BW40)</f>
        <v>#REF!</v>
      </c>
      <c r="BY280" s="33"/>
      <c r="BZ280" s="32"/>
      <c r="CA280" s="32"/>
      <c r="CB280" s="32"/>
      <c r="CC280" s="32"/>
      <c r="CD280" s="67"/>
      <c r="CE280" s="65"/>
      <c r="CF280" s="64">
        <f>SUM(CF25:CF40)</f>
        <v>0</v>
      </c>
      <c r="CG280" s="66"/>
      <c r="CH280" s="66"/>
      <c r="CI280" s="66"/>
      <c r="CJ280" s="66"/>
      <c r="CK280" s="66"/>
      <c r="CL280" s="66"/>
      <c r="CM280" s="65"/>
      <c r="CN280" s="64" t="e">
        <f>SUM(CN25:CN40)</f>
        <v>#REF!</v>
      </c>
      <c r="CP280" s="6"/>
      <c r="CQ280" s="45">
        <f>SUMIF(I$1:CO$1,1,I280:CO280)</f>
        <v>0</v>
      </c>
      <c r="CR280" s="6"/>
      <c r="CS280" s="44" t="e">
        <f>SUMIF(I$1:CO$1,2,I280:CO280)</f>
        <v>#REF!</v>
      </c>
      <c r="CU280" s="44"/>
    </row>
    <row r="281" spans="1:102" x14ac:dyDescent="0.25">
      <c r="A281" s="74"/>
      <c r="B281" s="81"/>
      <c r="C281" s="79" t="s">
        <v>117</v>
      </c>
      <c r="D281" s="78" t="s">
        <v>116</v>
      </c>
      <c r="E281" s="77" t="s">
        <v>106</v>
      </c>
      <c r="F281" s="69"/>
      <c r="G281" s="69"/>
      <c r="I281" s="37"/>
      <c r="J281" s="36"/>
      <c r="K281" s="36"/>
      <c r="L281" s="36"/>
      <c r="M281" s="53"/>
      <c r="N281" s="68"/>
      <c r="O281" s="65"/>
      <c r="P281" s="64">
        <f>SUM(P42:P56)</f>
        <v>0</v>
      </c>
      <c r="Q281" s="66"/>
      <c r="R281" s="66"/>
      <c r="S281" s="66"/>
      <c r="T281" s="66"/>
      <c r="U281" s="66"/>
      <c r="V281" s="66"/>
      <c r="W281" s="65"/>
      <c r="X281" s="64">
        <f>SUM(X42:X56)</f>
        <v>0</v>
      </c>
      <c r="Z281" s="37"/>
      <c r="AA281" s="36"/>
      <c r="AB281" s="36"/>
      <c r="AC281" s="36"/>
      <c r="AD281" s="53"/>
      <c r="AE281" s="68"/>
      <c r="AF281" s="65"/>
      <c r="AG281" s="64"/>
      <c r="AH281" s="66"/>
      <c r="AI281" s="66"/>
      <c r="AJ281" s="66"/>
      <c r="AK281" s="66"/>
      <c r="AL281" s="66"/>
      <c r="AM281" s="66"/>
      <c r="AN281" s="65"/>
      <c r="AO281" s="64">
        <f>SUM(AO42:AO56)</f>
        <v>0</v>
      </c>
      <c r="AQ281" s="33"/>
      <c r="AR281" s="32"/>
      <c r="AS281" s="32"/>
      <c r="AT281" s="32"/>
      <c r="AU281" s="32"/>
      <c r="AV281" s="67"/>
      <c r="AW281" s="65"/>
      <c r="AX281" s="64"/>
      <c r="AY281" s="66"/>
      <c r="AZ281" s="66"/>
      <c r="BA281" s="66"/>
      <c r="BB281" s="66"/>
      <c r="BC281" s="66"/>
      <c r="BD281" s="66"/>
      <c r="BE281" s="65"/>
      <c r="BF281" s="64"/>
      <c r="BH281" s="33"/>
      <c r="BI281" s="32"/>
      <c r="BJ281" s="32"/>
      <c r="BK281" s="32"/>
      <c r="BL281" s="32"/>
      <c r="BM281" s="67"/>
      <c r="BN281" s="65"/>
      <c r="BO281" s="64">
        <f>SUM(BO42:BO56)</f>
        <v>0</v>
      </c>
      <c r="BP281" s="66"/>
      <c r="BQ281" s="66"/>
      <c r="BR281" s="66"/>
      <c r="BS281" s="66"/>
      <c r="BT281" s="66"/>
      <c r="BU281" s="66"/>
      <c r="BV281" s="65"/>
      <c r="BW281" s="64" t="e">
        <f>SUM(BW42:BW56)</f>
        <v>#REF!</v>
      </c>
      <c r="BY281" s="33"/>
      <c r="BZ281" s="32"/>
      <c r="CA281" s="32"/>
      <c r="CB281" s="32"/>
      <c r="CC281" s="32"/>
      <c r="CD281" s="67"/>
      <c r="CE281" s="65"/>
      <c r="CF281" s="64">
        <f>SUM(CF42:CF56)</f>
        <v>0</v>
      </c>
      <c r="CG281" s="66"/>
      <c r="CH281" s="66"/>
      <c r="CI281" s="66"/>
      <c r="CJ281" s="66"/>
      <c r="CK281" s="66"/>
      <c r="CL281" s="66"/>
      <c r="CM281" s="65"/>
      <c r="CN281" s="64" t="e">
        <f>SUM(CN42:CN56)</f>
        <v>#REF!</v>
      </c>
      <c r="CP281" s="6"/>
      <c r="CQ281" s="45">
        <f>SUMIF(I$1:CO$1,1,I281:CO281)</f>
        <v>0</v>
      </c>
      <c r="CR281" s="6"/>
      <c r="CS281" s="44" t="e">
        <f>SUMIF(I$1:CO$1,2,I281:CO281)</f>
        <v>#REF!</v>
      </c>
      <c r="CU281" s="44"/>
    </row>
    <row r="282" spans="1:102" x14ac:dyDescent="0.25">
      <c r="A282" s="74"/>
      <c r="B282" s="80"/>
      <c r="C282" s="79" t="s">
        <v>115</v>
      </c>
      <c r="D282" s="78" t="s">
        <v>114</v>
      </c>
      <c r="E282" s="77" t="s">
        <v>106</v>
      </c>
      <c r="F282" s="69"/>
      <c r="G282" s="69"/>
      <c r="I282" s="37"/>
      <c r="J282" s="36"/>
      <c r="K282" s="36"/>
      <c r="L282" s="36"/>
      <c r="M282" s="53"/>
      <c r="N282" s="68"/>
      <c r="O282" s="65"/>
      <c r="P282" s="64">
        <f>SUM(P58:P64)</f>
        <v>0</v>
      </c>
      <c r="Q282" s="66"/>
      <c r="R282" s="66"/>
      <c r="S282" s="66"/>
      <c r="T282" s="66"/>
      <c r="U282" s="66"/>
      <c r="V282" s="66"/>
      <c r="W282" s="65"/>
      <c r="X282" s="64">
        <f>SUM(X58:X64)</f>
        <v>0</v>
      </c>
      <c r="Z282" s="37"/>
      <c r="AA282" s="36"/>
      <c r="AB282" s="36"/>
      <c r="AC282" s="36"/>
      <c r="AD282" s="53"/>
      <c r="AE282" s="68"/>
      <c r="AF282" s="65"/>
      <c r="AG282" s="64"/>
      <c r="AH282" s="66"/>
      <c r="AI282" s="66"/>
      <c r="AJ282" s="66"/>
      <c r="AK282" s="66"/>
      <c r="AL282" s="66"/>
      <c r="AM282" s="66"/>
      <c r="AN282" s="65"/>
      <c r="AO282" s="64">
        <f>SUM(AO58:AO64)</f>
        <v>0</v>
      </c>
      <c r="AQ282" s="33"/>
      <c r="AR282" s="32"/>
      <c r="AS282" s="32"/>
      <c r="AT282" s="32"/>
      <c r="AU282" s="32"/>
      <c r="AV282" s="67"/>
      <c r="AW282" s="65"/>
      <c r="AX282" s="64"/>
      <c r="AY282" s="66"/>
      <c r="AZ282" s="66"/>
      <c r="BA282" s="66"/>
      <c r="BB282" s="66"/>
      <c r="BC282" s="66"/>
      <c r="BD282" s="66"/>
      <c r="BE282" s="65"/>
      <c r="BF282" s="64"/>
      <c r="BH282" s="33"/>
      <c r="BI282" s="32"/>
      <c r="BJ282" s="32"/>
      <c r="BK282" s="32"/>
      <c r="BL282" s="32"/>
      <c r="BM282" s="67"/>
      <c r="BN282" s="65"/>
      <c r="BO282" s="64">
        <f>SUM(BO58:BO64)</f>
        <v>0</v>
      </c>
      <c r="BP282" s="66"/>
      <c r="BQ282" s="66"/>
      <c r="BR282" s="66"/>
      <c r="BS282" s="66"/>
      <c r="BT282" s="66"/>
      <c r="BU282" s="66"/>
      <c r="BV282" s="65"/>
      <c r="BW282" s="64" t="e">
        <f>SUM(BW58:BW64)</f>
        <v>#REF!</v>
      </c>
      <c r="BY282" s="33"/>
      <c r="BZ282" s="32"/>
      <c r="CA282" s="32"/>
      <c r="CB282" s="32"/>
      <c r="CC282" s="32"/>
      <c r="CD282" s="67"/>
      <c r="CE282" s="65"/>
      <c r="CF282" s="64">
        <f>SUM(CF58:CF64)</f>
        <v>0</v>
      </c>
      <c r="CG282" s="66"/>
      <c r="CH282" s="66"/>
      <c r="CI282" s="66"/>
      <c r="CJ282" s="66"/>
      <c r="CK282" s="66"/>
      <c r="CL282" s="66"/>
      <c r="CM282" s="65"/>
      <c r="CN282" s="64" t="e">
        <f>SUM(CN58:CN64)</f>
        <v>#REF!</v>
      </c>
      <c r="CP282" s="6"/>
      <c r="CQ282" s="45">
        <f>SUMIF(I$1:CO$1,1,I282:CO282)</f>
        <v>0</v>
      </c>
      <c r="CR282" s="6"/>
      <c r="CS282" s="44" t="e">
        <f>SUMIF(I$1:CO$1,2,I282:CO282)</f>
        <v>#REF!</v>
      </c>
      <c r="CU282" s="44"/>
    </row>
    <row r="283" spans="1:102" x14ac:dyDescent="0.25">
      <c r="A283" s="74"/>
      <c r="B283" s="76" t="s">
        <v>113</v>
      </c>
      <c r="C283" s="72" t="s">
        <v>112</v>
      </c>
      <c r="D283" s="71" t="s">
        <v>111</v>
      </c>
      <c r="E283" s="70" t="s">
        <v>106</v>
      </c>
      <c r="F283" s="69"/>
      <c r="G283" s="69"/>
      <c r="I283" s="37"/>
      <c r="J283" s="36"/>
      <c r="K283" s="36"/>
      <c r="L283" s="36"/>
      <c r="M283" s="53"/>
      <c r="N283" s="68"/>
      <c r="O283" s="65"/>
      <c r="P283" s="64">
        <f>SUM(P66:P98,P100:P119,P121:P128,P130:P157,P159:P164,P166:P174,P176:P191,P193:P198)</f>
        <v>0</v>
      </c>
      <c r="Q283" s="66"/>
      <c r="R283" s="66"/>
      <c r="S283" s="66"/>
      <c r="T283" s="66"/>
      <c r="U283" s="66"/>
      <c r="V283" s="66"/>
      <c r="W283" s="65"/>
      <c r="X283" s="64">
        <f>SUM(X66:X98,X100:X119,X121:X128,X130:X157,X159:X164,X166:X174,X176:X191,X193:X198)</f>
        <v>0</v>
      </c>
      <c r="Z283" s="37"/>
      <c r="AA283" s="36"/>
      <c r="AB283" s="36"/>
      <c r="AC283" s="36"/>
      <c r="AD283" s="53"/>
      <c r="AE283" s="68"/>
      <c r="AF283" s="65"/>
      <c r="AG283" s="64"/>
      <c r="AH283" s="66"/>
      <c r="AI283" s="66"/>
      <c r="AJ283" s="66"/>
      <c r="AK283" s="66"/>
      <c r="AL283" s="66"/>
      <c r="AM283" s="66"/>
      <c r="AN283" s="65"/>
      <c r="AO283" s="64">
        <f>SUM(AO66:AO98,AO100:AO119,AO121:AO128,AO130:AO157,AO159:AO164,AO166:AO174,AO176:AO191,AO193:AO198)</f>
        <v>0</v>
      </c>
      <c r="AQ283" s="33"/>
      <c r="AR283" s="32"/>
      <c r="AS283" s="32"/>
      <c r="AT283" s="32"/>
      <c r="AU283" s="32"/>
      <c r="AV283" s="67"/>
      <c r="AW283" s="65"/>
      <c r="AX283" s="64"/>
      <c r="AY283" s="66"/>
      <c r="AZ283" s="66"/>
      <c r="BA283" s="66"/>
      <c r="BB283" s="66"/>
      <c r="BC283" s="66"/>
      <c r="BD283" s="66"/>
      <c r="BE283" s="65"/>
      <c r="BF283" s="64"/>
      <c r="BH283" s="33"/>
      <c r="BI283" s="32"/>
      <c r="BJ283" s="32"/>
      <c r="BK283" s="32"/>
      <c r="BL283" s="32"/>
      <c r="BM283" s="67"/>
      <c r="BN283" s="65"/>
      <c r="BO283" s="64">
        <f>SUM(BO66:BO98,BO100:BO119,BO121:BO128,BO130:BO157,BO159:BO164,BO166:BO174,BO176:BO191,BO193:BO198)</f>
        <v>0</v>
      </c>
      <c r="BP283" s="66"/>
      <c r="BQ283" s="66"/>
      <c r="BR283" s="66"/>
      <c r="BS283" s="66"/>
      <c r="BT283" s="66"/>
      <c r="BU283" s="66"/>
      <c r="BV283" s="65"/>
      <c r="BW283" s="64" t="e">
        <f>SUM(BW66:BW98,BW100:BW119,BW121:BW128,BW130:BW157,BW159:BW164,BW166:BW174,BW176:BW191,BW193:BW198)</f>
        <v>#REF!</v>
      </c>
      <c r="BY283" s="33"/>
      <c r="BZ283" s="32"/>
      <c r="CA283" s="32"/>
      <c r="CB283" s="32"/>
      <c r="CC283" s="32"/>
      <c r="CD283" s="67"/>
      <c r="CE283" s="65"/>
      <c r="CF283" s="64">
        <f>SUM(CF66:CF98,CF100:CF119,CF121:CF128,CF130:CF157,CF159:CF164,CF166:CF174,CF176:CF191,CF193:CF198)</f>
        <v>0</v>
      </c>
      <c r="CG283" s="66"/>
      <c r="CH283" s="66"/>
      <c r="CI283" s="66"/>
      <c r="CJ283" s="66"/>
      <c r="CK283" s="66"/>
      <c r="CL283" s="66"/>
      <c r="CM283" s="65"/>
      <c r="CN283" s="64" t="e">
        <f>SUM(CN66:CN98,CN100:CN119,CN121:CN128,CN130:CN157,CN159:CN164,CN166:CN174,CN176:CN191,CN193:CN198)</f>
        <v>#REF!</v>
      </c>
      <c r="CP283" s="6"/>
      <c r="CQ283" s="45">
        <f>SUMIF(I$1:CO$1,1,I283:CO283)</f>
        <v>0</v>
      </c>
      <c r="CR283" s="6"/>
      <c r="CS283" s="44" t="e">
        <f>SUMIF(I$1:CO$1,2,I283:CO283)</f>
        <v>#REF!</v>
      </c>
      <c r="CU283" s="44"/>
    </row>
    <row r="284" spans="1:102" x14ac:dyDescent="0.25">
      <c r="A284" s="74"/>
      <c r="B284" s="75"/>
      <c r="C284" s="72" t="s">
        <v>110</v>
      </c>
      <c r="D284" s="71" t="s">
        <v>109</v>
      </c>
      <c r="E284" s="70" t="s">
        <v>106</v>
      </c>
      <c r="F284" s="69"/>
      <c r="G284" s="69"/>
      <c r="I284" s="37"/>
      <c r="J284" s="36"/>
      <c r="K284" s="36"/>
      <c r="L284" s="36"/>
      <c r="M284" s="53"/>
      <c r="N284" s="68"/>
      <c r="O284" s="65"/>
      <c r="P284" s="64">
        <f>SUM(P200:P213)</f>
        <v>0</v>
      </c>
      <c r="Q284" s="66"/>
      <c r="R284" s="66"/>
      <c r="S284" s="66"/>
      <c r="T284" s="66"/>
      <c r="U284" s="66"/>
      <c r="V284" s="66"/>
      <c r="W284" s="65"/>
      <c r="X284" s="64">
        <f>SUM(X200:X213)</f>
        <v>0</v>
      </c>
      <c r="Z284" s="37"/>
      <c r="AA284" s="36"/>
      <c r="AB284" s="36"/>
      <c r="AC284" s="36"/>
      <c r="AD284" s="53"/>
      <c r="AE284" s="68"/>
      <c r="AF284" s="65"/>
      <c r="AG284" s="64"/>
      <c r="AH284" s="66"/>
      <c r="AI284" s="66"/>
      <c r="AJ284" s="66"/>
      <c r="AK284" s="66"/>
      <c r="AL284" s="66"/>
      <c r="AM284" s="66"/>
      <c r="AN284" s="65"/>
      <c r="AO284" s="64">
        <f>SUM(AO200:AO213)</f>
        <v>0</v>
      </c>
      <c r="AQ284" s="33"/>
      <c r="AR284" s="32"/>
      <c r="AS284" s="32"/>
      <c r="AT284" s="32"/>
      <c r="AU284" s="32"/>
      <c r="AV284" s="67"/>
      <c r="AW284" s="65"/>
      <c r="AX284" s="64"/>
      <c r="AY284" s="66"/>
      <c r="AZ284" s="66"/>
      <c r="BA284" s="66"/>
      <c r="BB284" s="66"/>
      <c r="BC284" s="66"/>
      <c r="BD284" s="66"/>
      <c r="BE284" s="65"/>
      <c r="BF284" s="64"/>
      <c r="BH284" s="33"/>
      <c r="BI284" s="32"/>
      <c r="BJ284" s="32"/>
      <c r="BK284" s="32"/>
      <c r="BL284" s="32"/>
      <c r="BM284" s="67"/>
      <c r="BN284" s="65"/>
      <c r="BO284" s="64">
        <f>SUM(BO200:BO213)</f>
        <v>0</v>
      </c>
      <c r="BP284" s="66"/>
      <c r="BQ284" s="66"/>
      <c r="BR284" s="66"/>
      <c r="BS284" s="66"/>
      <c r="BT284" s="66"/>
      <c r="BU284" s="66"/>
      <c r="BV284" s="65"/>
      <c r="BW284" s="64" t="e">
        <f>SUM(BW200:BW213)</f>
        <v>#REF!</v>
      </c>
      <c r="BY284" s="33"/>
      <c r="BZ284" s="32"/>
      <c r="CA284" s="32"/>
      <c r="CB284" s="32"/>
      <c r="CC284" s="32"/>
      <c r="CD284" s="67"/>
      <c r="CE284" s="65"/>
      <c r="CF284" s="64">
        <f>SUM(CF200:CF213)</f>
        <v>0</v>
      </c>
      <c r="CG284" s="66"/>
      <c r="CH284" s="66"/>
      <c r="CI284" s="66"/>
      <c r="CJ284" s="66"/>
      <c r="CK284" s="66"/>
      <c r="CL284" s="66"/>
      <c r="CM284" s="65"/>
      <c r="CN284" s="64" t="e">
        <f>SUM(CN200:CN213)</f>
        <v>#REF!</v>
      </c>
      <c r="CP284" s="6"/>
      <c r="CQ284" s="45">
        <f>SUMIF(I$1:CO$1,1,I284:CO284)</f>
        <v>0</v>
      </c>
      <c r="CR284" s="6"/>
      <c r="CS284" s="44" t="e">
        <f>SUMIF(I$1:CO$1,2,I284:CO284)</f>
        <v>#REF!</v>
      </c>
      <c r="CU284" s="44"/>
    </row>
    <row r="285" spans="1:102" ht="13.8" thickBot="1" x14ac:dyDescent="0.3">
      <c r="A285" s="74"/>
      <c r="B285" s="73"/>
      <c r="C285" s="72" t="s">
        <v>108</v>
      </c>
      <c r="D285" s="71" t="s">
        <v>107</v>
      </c>
      <c r="E285" s="70" t="s">
        <v>106</v>
      </c>
      <c r="F285" s="69"/>
      <c r="G285" s="69"/>
      <c r="I285" s="37"/>
      <c r="J285" s="36"/>
      <c r="K285" s="36"/>
      <c r="L285" s="36"/>
      <c r="M285" s="53"/>
      <c r="N285" s="68"/>
      <c r="O285" s="65"/>
      <c r="P285" s="64">
        <f>SUM(P215:P223,P225:P240)</f>
        <v>0</v>
      </c>
      <c r="Q285" s="66"/>
      <c r="R285" s="66"/>
      <c r="S285" s="66"/>
      <c r="T285" s="66"/>
      <c r="U285" s="66"/>
      <c r="V285" s="66"/>
      <c r="W285" s="65"/>
      <c r="X285" s="64">
        <f>SUM(X215:X223,X225:X240)</f>
        <v>0</v>
      </c>
      <c r="Z285" s="37"/>
      <c r="AA285" s="36"/>
      <c r="AB285" s="36"/>
      <c r="AC285" s="36"/>
      <c r="AD285" s="53"/>
      <c r="AE285" s="68"/>
      <c r="AF285" s="65"/>
      <c r="AG285" s="64"/>
      <c r="AH285" s="66"/>
      <c r="AI285" s="66"/>
      <c r="AJ285" s="66"/>
      <c r="AK285" s="66"/>
      <c r="AL285" s="66"/>
      <c r="AM285" s="66"/>
      <c r="AN285" s="65"/>
      <c r="AO285" s="64">
        <f>SUM(AO215:AO223,AO225:AO240)</f>
        <v>0</v>
      </c>
      <c r="AQ285" s="33"/>
      <c r="AR285" s="32"/>
      <c r="AS285" s="32"/>
      <c r="AT285" s="32"/>
      <c r="AU285" s="32"/>
      <c r="AV285" s="67"/>
      <c r="AW285" s="65"/>
      <c r="AX285" s="64"/>
      <c r="AY285" s="66"/>
      <c r="AZ285" s="66"/>
      <c r="BA285" s="66"/>
      <c r="BB285" s="66"/>
      <c r="BC285" s="66"/>
      <c r="BD285" s="66"/>
      <c r="BE285" s="65"/>
      <c r="BF285" s="64"/>
      <c r="BH285" s="33"/>
      <c r="BI285" s="32"/>
      <c r="BJ285" s="32"/>
      <c r="BK285" s="32"/>
      <c r="BL285" s="32"/>
      <c r="BM285" s="67"/>
      <c r="BN285" s="65"/>
      <c r="BO285" s="64">
        <f>SUM(BO215:BO223,BO225:BO240)</f>
        <v>0</v>
      </c>
      <c r="BP285" s="66"/>
      <c r="BQ285" s="66"/>
      <c r="BR285" s="66"/>
      <c r="BS285" s="66"/>
      <c r="BT285" s="66"/>
      <c r="BU285" s="66"/>
      <c r="BV285" s="65"/>
      <c r="BW285" s="64" t="e">
        <f>SUM(BW215:BW223,BW225:BW240)</f>
        <v>#REF!</v>
      </c>
      <c r="BY285" s="33"/>
      <c r="BZ285" s="32"/>
      <c r="CA285" s="32"/>
      <c r="CB285" s="32"/>
      <c r="CC285" s="32"/>
      <c r="CD285" s="67"/>
      <c r="CE285" s="65"/>
      <c r="CF285" s="64">
        <f>SUM(CF215:CF223,CF225:CF240)</f>
        <v>0</v>
      </c>
      <c r="CG285" s="66"/>
      <c r="CH285" s="66"/>
      <c r="CI285" s="66"/>
      <c r="CJ285" s="66"/>
      <c r="CK285" s="66"/>
      <c r="CL285" s="66"/>
      <c r="CM285" s="65"/>
      <c r="CN285" s="64" t="e">
        <f>SUM(CN215:CN223,CN225:CN240)</f>
        <v>#REF!</v>
      </c>
      <c r="CP285" s="6"/>
      <c r="CQ285" s="45">
        <f>SUMIF(I$1:CO$1,1,I285:CO285)</f>
        <v>0</v>
      </c>
      <c r="CR285" s="6"/>
      <c r="CS285" s="63" t="e">
        <f>SUMIF(I$1:CO$1,2,I285:CO285)</f>
        <v>#REF!</v>
      </c>
      <c r="CU285" s="63"/>
    </row>
    <row r="286" spans="1:102" ht="6.75" customHeight="1" thickBot="1" x14ac:dyDescent="0.3">
      <c r="A286" s="26"/>
      <c r="B286" s="25"/>
      <c r="C286" s="23"/>
      <c r="D286" s="24"/>
      <c r="E286" s="23"/>
      <c r="F286" s="62"/>
      <c r="G286" s="62"/>
      <c r="I286" s="21"/>
      <c r="J286" s="20"/>
      <c r="K286" s="20"/>
      <c r="L286" s="20"/>
      <c r="M286" s="61"/>
      <c r="N286" s="17"/>
      <c r="O286" s="16"/>
      <c r="P286" s="17"/>
      <c r="Q286" s="16"/>
      <c r="R286" s="16"/>
      <c r="S286" s="16"/>
      <c r="T286" s="16"/>
      <c r="U286" s="16"/>
      <c r="V286" s="16"/>
      <c r="W286" s="16"/>
      <c r="X286" s="15"/>
      <c r="Z286" s="21"/>
      <c r="AA286" s="20"/>
      <c r="AB286" s="20"/>
      <c r="AC286" s="20"/>
      <c r="AD286" s="61"/>
      <c r="AE286" s="17"/>
      <c r="AF286" s="16"/>
      <c r="AG286" s="17"/>
      <c r="AH286" s="16"/>
      <c r="AI286" s="16"/>
      <c r="AJ286" s="16"/>
      <c r="AK286" s="16"/>
      <c r="AL286" s="16"/>
      <c r="AM286" s="16"/>
      <c r="AN286" s="16"/>
      <c r="AO286" s="15"/>
      <c r="AQ286" s="19"/>
      <c r="AR286" s="18"/>
      <c r="AS286" s="18"/>
      <c r="AT286" s="18"/>
      <c r="AU286" s="18"/>
      <c r="AV286" s="16"/>
      <c r="AW286" s="16"/>
      <c r="AX286" s="17"/>
      <c r="AY286" s="16"/>
      <c r="AZ286" s="16"/>
      <c r="BA286" s="16"/>
      <c r="BB286" s="16"/>
      <c r="BC286" s="16"/>
      <c r="BD286" s="16"/>
      <c r="BE286" s="16"/>
      <c r="BF286" s="15"/>
      <c r="BH286" s="19"/>
      <c r="BI286" s="18"/>
      <c r="BJ286" s="18"/>
      <c r="BK286" s="18"/>
      <c r="BL286" s="18"/>
      <c r="BM286" s="16"/>
      <c r="BN286" s="16"/>
      <c r="BO286" s="17"/>
      <c r="BP286" s="16"/>
      <c r="BQ286" s="16"/>
      <c r="BR286" s="16"/>
      <c r="BS286" s="16"/>
      <c r="BT286" s="16"/>
      <c r="BU286" s="16"/>
      <c r="BV286" s="16"/>
      <c r="BW286" s="15"/>
      <c r="BY286" s="19"/>
      <c r="BZ286" s="18"/>
      <c r="CA286" s="18"/>
      <c r="CB286" s="18"/>
      <c r="CC286" s="18"/>
      <c r="CD286" s="16"/>
      <c r="CE286" s="16"/>
      <c r="CF286" s="17"/>
      <c r="CG286" s="16"/>
      <c r="CH286" s="16"/>
      <c r="CI286" s="16"/>
      <c r="CJ286" s="16"/>
      <c r="CK286" s="16"/>
      <c r="CL286" s="16"/>
      <c r="CM286" s="16"/>
      <c r="CN286" s="15"/>
      <c r="CP286" s="14"/>
      <c r="CQ286" s="60"/>
      <c r="CR286" s="6"/>
      <c r="CS286" s="60"/>
      <c r="CU286" s="60"/>
    </row>
    <row r="287" spans="1:102" ht="17.399999999999999" x14ac:dyDescent="0.25">
      <c r="A287" s="59" t="s">
        <v>105</v>
      </c>
      <c r="B287" s="58"/>
      <c r="C287" s="57"/>
      <c r="D287" s="56"/>
      <c r="E287" s="55" t="s">
        <v>104</v>
      </c>
      <c r="F287" s="54"/>
      <c r="G287" s="54"/>
      <c r="I287" s="37"/>
      <c r="J287" s="36"/>
      <c r="K287" s="36"/>
      <c r="L287" s="36"/>
      <c r="M287" s="53"/>
      <c r="N287" s="52"/>
      <c r="O287" s="50"/>
      <c r="P287" s="49">
        <f>SUM(I6:M6)</f>
        <v>0</v>
      </c>
      <c r="Q287" s="48"/>
      <c r="R287" s="48"/>
      <c r="S287" s="48"/>
      <c r="T287" s="48"/>
      <c r="U287" s="48"/>
      <c r="V287" s="48"/>
      <c r="W287" s="47">
        <v>1</v>
      </c>
      <c r="X287" s="46">
        <f>P287*W287</f>
        <v>0</v>
      </c>
      <c r="Z287" s="37"/>
      <c r="AA287" s="36"/>
      <c r="AB287" s="36"/>
      <c r="AC287" s="36"/>
      <c r="AD287" s="53"/>
      <c r="AE287" s="52"/>
      <c r="AF287" s="50"/>
      <c r="AG287" s="49"/>
      <c r="AH287" s="48"/>
      <c r="AI287" s="48"/>
      <c r="AJ287" s="48"/>
      <c r="AK287" s="48"/>
      <c r="AL287" s="48"/>
      <c r="AM287" s="48"/>
      <c r="AN287" s="47"/>
      <c r="AO287" s="46">
        <f>AG287*AN287</f>
        <v>0</v>
      </c>
      <c r="AQ287" s="33"/>
      <c r="AR287" s="32"/>
      <c r="AS287" s="32"/>
      <c r="AT287" s="32"/>
      <c r="AU287" s="32"/>
      <c r="AV287" s="51"/>
      <c r="AW287" s="50"/>
      <c r="AX287" s="49"/>
      <c r="AY287" s="48"/>
      <c r="AZ287" s="48"/>
      <c r="BA287" s="48"/>
      <c r="BB287" s="48"/>
      <c r="BC287" s="48"/>
      <c r="BD287" s="48"/>
      <c r="BE287" s="47"/>
      <c r="BF287" s="46"/>
      <c r="BH287" s="33"/>
      <c r="BI287" s="32"/>
      <c r="BJ287" s="32"/>
      <c r="BK287" s="32"/>
      <c r="BL287" s="32"/>
      <c r="BM287" s="51"/>
      <c r="BN287" s="50"/>
      <c r="BO287" s="49">
        <f>SUM(BH6:BL6)</f>
        <v>0</v>
      </c>
      <c r="BP287" s="48"/>
      <c r="BQ287" s="48"/>
      <c r="BR287" s="48"/>
      <c r="BS287" s="48"/>
      <c r="BT287" s="48"/>
      <c r="BU287" s="48"/>
      <c r="BV287" s="47">
        <v>1</v>
      </c>
      <c r="BW287" s="46">
        <f>BO287*BV287</f>
        <v>0</v>
      </c>
      <c r="BY287" s="33"/>
      <c r="BZ287" s="32"/>
      <c r="CA287" s="32"/>
      <c r="CB287" s="32"/>
      <c r="CC287" s="32"/>
      <c r="CD287" s="51"/>
      <c r="CE287" s="50"/>
      <c r="CF287" s="49">
        <f>SUM(BY6:CC6)</f>
        <v>0</v>
      </c>
      <c r="CG287" s="48"/>
      <c r="CH287" s="48"/>
      <c r="CI287" s="48"/>
      <c r="CJ287" s="48"/>
      <c r="CK287" s="48"/>
      <c r="CL287" s="48"/>
      <c r="CM287" s="47">
        <v>1</v>
      </c>
      <c r="CN287" s="46">
        <f>CF287*CM287</f>
        <v>0</v>
      </c>
      <c r="CP287" s="14"/>
      <c r="CQ287" s="45">
        <f>SUMIF(I$1:CO$1,1,I287:CO287)</f>
        <v>0</v>
      </c>
      <c r="CR287" s="6"/>
      <c r="CS287" s="44">
        <f>CQ287</f>
        <v>0</v>
      </c>
      <c r="CU287" s="44"/>
    </row>
    <row r="288" spans="1:102" ht="18" customHeight="1" thickBot="1" x14ac:dyDescent="0.3">
      <c r="A288" s="43" t="s">
        <v>103</v>
      </c>
      <c r="B288" s="42"/>
      <c r="C288" s="41"/>
      <c r="D288" s="40"/>
      <c r="E288" s="39" t="s">
        <v>102</v>
      </c>
      <c r="F288" s="38"/>
      <c r="G288" s="38"/>
      <c r="I288" s="37"/>
      <c r="J288" s="36"/>
      <c r="K288" s="36"/>
      <c r="L288" s="36"/>
      <c r="M288" s="35"/>
      <c r="N288" s="34"/>
      <c r="O288" s="29"/>
      <c r="P288" s="28" t="str">
        <f>IF(P287&lt;&gt;0,P277/P287,"")</f>
        <v/>
      </c>
      <c r="Q288" s="30"/>
      <c r="R288" s="30"/>
      <c r="S288" s="30"/>
      <c r="T288" s="30"/>
      <c r="U288" s="30"/>
      <c r="V288" s="30"/>
      <c r="W288" s="29"/>
      <c r="X288" s="28" t="str">
        <f>IF(X287&lt;&gt;0,X277/X287,"")</f>
        <v/>
      </c>
      <c r="Z288" s="37"/>
      <c r="AA288" s="36"/>
      <c r="AB288" s="36"/>
      <c r="AC288" s="36"/>
      <c r="AD288" s="35"/>
      <c r="AE288" s="34"/>
      <c r="AF288" s="29"/>
      <c r="AG288" s="28"/>
      <c r="AH288" s="30"/>
      <c r="AI288" s="30"/>
      <c r="AJ288" s="30"/>
      <c r="AK288" s="30"/>
      <c r="AL288" s="30"/>
      <c r="AM288" s="30"/>
      <c r="AN288" s="29"/>
      <c r="AO288" s="28" t="str">
        <f>IF(AO287&lt;&gt;0,AO277/AO287,"")</f>
        <v/>
      </c>
      <c r="AQ288" s="33"/>
      <c r="AR288" s="32"/>
      <c r="AS288" s="32"/>
      <c r="AT288" s="32"/>
      <c r="AU288" s="32"/>
      <c r="AV288" s="31"/>
      <c r="AW288" s="29"/>
      <c r="AX288" s="28"/>
      <c r="AY288" s="30"/>
      <c r="AZ288" s="30"/>
      <c r="BA288" s="30"/>
      <c r="BB288" s="30"/>
      <c r="BC288" s="30"/>
      <c r="BD288" s="30"/>
      <c r="BE288" s="29"/>
      <c r="BF288" s="28"/>
      <c r="BH288" s="33"/>
      <c r="BI288" s="32"/>
      <c r="BJ288" s="32"/>
      <c r="BK288" s="32"/>
      <c r="BL288" s="32"/>
      <c r="BM288" s="31"/>
      <c r="BN288" s="29"/>
      <c r="BO288" s="28" t="str">
        <f>IF(BO287&lt;&gt;0,BO277/BO287,"")</f>
        <v/>
      </c>
      <c r="BP288" s="30"/>
      <c r="BQ288" s="30"/>
      <c r="BR288" s="30"/>
      <c r="BS288" s="30"/>
      <c r="BT288" s="30"/>
      <c r="BU288" s="30"/>
      <c r="BV288" s="29"/>
      <c r="BW288" s="28" t="str">
        <f>IF(BW287&lt;&gt;0,BW277/BW287,"")</f>
        <v/>
      </c>
      <c r="BY288" s="33"/>
      <c r="BZ288" s="32"/>
      <c r="CA288" s="32"/>
      <c r="CB288" s="32"/>
      <c r="CC288" s="32"/>
      <c r="CD288" s="31"/>
      <c r="CE288" s="29"/>
      <c r="CF288" s="28" t="str">
        <f>IF(CF287&lt;&gt;0,CF277/CF287,"")</f>
        <v/>
      </c>
      <c r="CG288" s="30"/>
      <c r="CH288" s="30"/>
      <c r="CI288" s="30"/>
      <c r="CJ288" s="30"/>
      <c r="CK288" s="30"/>
      <c r="CL288" s="30"/>
      <c r="CM288" s="29"/>
      <c r="CN288" s="28" t="str">
        <f>IF(CN287&lt;&gt;0,CN277/CN287,"")</f>
        <v/>
      </c>
      <c r="CP288" s="14"/>
      <c r="CQ288" s="27" t="str">
        <f>IF(CQ287&lt;&gt;0,CQ277/CQ287,"")</f>
        <v/>
      </c>
      <c r="CR288" s="6"/>
      <c r="CS288" s="27" t="str">
        <f>IF(CS287&lt;&gt;0,CS277/CS287,"")</f>
        <v/>
      </c>
      <c r="CU288" s="27"/>
    </row>
    <row r="289" spans="1:99" ht="6.75" customHeight="1" thickBot="1" x14ac:dyDescent="0.3">
      <c r="A289" s="26"/>
      <c r="B289" s="25"/>
      <c r="C289" s="23"/>
      <c r="D289" s="24"/>
      <c r="E289" s="23"/>
      <c r="F289" s="22"/>
      <c r="G289" s="22"/>
      <c r="I289" s="21"/>
      <c r="J289" s="20"/>
      <c r="K289" s="20"/>
      <c r="L289" s="20"/>
      <c r="M289" s="20"/>
      <c r="N289" s="17"/>
      <c r="O289" s="16"/>
      <c r="P289" s="17"/>
      <c r="Q289" s="16"/>
      <c r="R289" s="16"/>
      <c r="S289" s="16"/>
      <c r="T289" s="16"/>
      <c r="U289" s="16"/>
      <c r="V289" s="16"/>
      <c r="W289" s="16"/>
      <c r="X289" s="15"/>
      <c r="Z289" s="21"/>
      <c r="AA289" s="20"/>
      <c r="AB289" s="20"/>
      <c r="AC289" s="20"/>
      <c r="AD289" s="20"/>
      <c r="AE289" s="17"/>
      <c r="AF289" s="16"/>
      <c r="AG289" s="17"/>
      <c r="AH289" s="16"/>
      <c r="AI289" s="16"/>
      <c r="AJ289" s="16"/>
      <c r="AK289" s="16"/>
      <c r="AL289" s="16"/>
      <c r="AM289" s="16"/>
      <c r="AN289" s="16"/>
      <c r="AO289" s="15"/>
      <c r="AQ289" s="19"/>
      <c r="AR289" s="18"/>
      <c r="AS289" s="18"/>
      <c r="AT289" s="18"/>
      <c r="AU289" s="18"/>
      <c r="AV289" s="16"/>
      <c r="AW289" s="16"/>
      <c r="AX289" s="17"/>
      <c r="AY289" s="16"/>
      <c r="AZ289" s="16"/>
      <c r="BA289" s="16"/>
      <c r="BB289" s="16"/>
      <c r="BC289" s="16"/>
      <c r="BD289" s="16"/>
      <c r="BE289" s="16"/>
      <c r="BF289" s="15"/>
      <c r="BH289" s="19"/>
      <c r="BI289" s="18"/>
      <c r="BJ289" s="18"/>
      <c r="BK289" s="18"/>
      <c r="BL289" s="18"/>
      <c r="BM289" s="16"/>
      <c r="BN289" s="16"/>
      <c r="BO289" s="17"/>
      <c r="BP289" s="16"/>
      <c r="BQ289" s="16"/>
      <c r="BR289" s="16"/>
      <c r="BS289" s="16"/>
      <c r="BT289" s="16"/>
      <c r="BU289" s="16"/>
      <c r="BV289" s="16"/>
      <c r="BW289" s="15"/>
      <c r="BY289" s="19"/>
      <c r="BZ289" s="18"/>
      <c r="CA289" s="18"/>
      <c r="CB289" s="18"/>
      <c r="CC289" s="18"/>
      <c r="CD289" s="16"/>
      <c r="CE289" s="16"/>
      <c r="CF289" s="17"/>
      <c r="CG289" s="16"/>
      <c r="CH289" s="16"/>
      <c r="CI289" s="16"/>
      <c r="CJ289" s="16"/>
      <c r="CK289" s="16"/>
      <c r="CL289" s="16"/>
      <c r="CM289" s="16"/>
      <c r="CN289" s="15"/>
      <c r="CP289" s="14"/>
      <c r="CQ289" s="13"/>
      <c r="CR289" s="6"/>
      <c r="CS289" s="13"/>
      <c r="CU289" s="13"/>
    </row>
    <row r="290" spans="1:99" x14ac:dyDescent="0.25">
      <c r="A290" s="6"/>
      <c r="B290" s="6"/>
      <c r="C290" s="6"/>
      <c r="D290" s="6"/>
      <c r="E290" s="8"/>
      <c r="F290" s="6"/>
      <c r="G290" s="6"/>
      <c r="I290" s="7"/>
      <c r="J290" s="7"/>
      <c r="K290" s="7"/>
      <c r="L290" s="7"/>
      <c r="M290" s="7"/>
      <c r="N290" s="7"/>
      <c r="O290" s="6"/>
      <c r="P290" s="6"/>
      <c r="Q290" s="6"/>
      <c r="R290" s="6"/>
      <c r="S290" s="6"/>
      <c r="T290" s="6"/>
      <c r="U290" s="6"/>
      <c r="V290" s="6"/>
      <c r="W290" s="6"/>
      <c r="X290" s="6"/>
      <c r="Z290" s="7"/>
      <c r="AA290" s="7"/>
      <c r="AB290" s="7"/>
      <c r="AC290" s="7"/>
      <c r="AD290" s="7"/>
      <c r="AE290" s="7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P290" s="6"/>
      <c r="CQ290" s="6"/>
      <c r="CR290" s="6"/>
      <c r="CS290" s="6"/>
      <c r="CU290" s="6"/>
    </row>
    <row r="291" spans="1:99" ht="13.8" x14ac:dyDescent="0.25">
      <c r="A291" s="10" t="s">
        <v>101</v>
      </c>
      <c r="B291" s="6" t="s">
        <v>100</v>
      </c>
      <c r="C291" s="6"/>
      <c r="D291" s="6"/>
      <c r="E291" s="8"/>
      <c r="F291" s="6"/>
      <c r="G291" s="6"/>
      <c r="I291" s="7"/>
      <c r="J291" s="7"/>
      <c r="K291" s="7"/>
      <c r="L291" s="7"/>
      <c r="M291" s="7"/>
      <c r="N291" s="7" t="s">
        <v>99</v>
      </c>
      <c r="O291" s="6"/>
      <c r="P291" s="6"/>
      <c r="Q291" s="6"/>
      <c r="R291" s="6"/>
      <c r="S291" s="6"/>
      <c r="T291" s="6"/>
      <c r="U291" s="6"/>
      <c r="V291" s="6"/>
      <c r="W291" s="6"/>
      <c r="X291" s="6"/>
      <c r="Z291" s="7"/>
      <c r="AA291" s="7"/>
      <c r="AB291" s="7"/>
      <c r="AC291" s="7"/>
      <c r="AD291" s="7"/>
      <c r="AE291" s="7" t="s">
        <v>98</v>
      </c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Q291" s="6"/>
      <c r="AR291" s="6"/>
      <c r="AS291" s="6"/>
      <c r="AT291" s="6"/>
      <c r="AU291" s="6"/>
      <c r="AV291" s="6" t="s">
        <v>97</v>
      </c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H291" s="6"/>
      <c r="BI291" s="6"/>
      <c r="BJ291" s="6"/>
      <c r="BK291" s="6"/>
      <c r="BL291" s="6"/>
      <c r="BM291" s="6" t="s">
        <v>96</v>
      </c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  <c r="CM291" s="6"/>
      <c r="CN291" s="6"/>
      <c r="CP291" s="6"/>
      <c r="CQ291" s="6"/>
      <c r="CR291" s="6"/>
      <c r="CS291" s="6"/>
      <c r="CU291" s="6"/>
    </row>
    <row r="292" spans="1:99" x14ac:dyDescent="0.25">
      <c r="A292" s="6" t="s">
        <v>95</v>
      </c>
      <c r="B292" s="11"/>
      <c r="C292" s="6"/>
      <c r="D292" s="6"/>
      <c r="E292" s="8"/>
      <c r="F292" s="6"/>
      <c r="G292" s="6"/>
      <c r="I292" s="7"/>
      <c r="J292" s="7"/>
      <c r="K292" s="7"/>
      <c r="L292" s="7"/>
      <c r="M292" s="7"/>
      <c r="N292" s="12">
        <v>3</v>
      </c>
      <c r="O292" s="6" t="s">
        <v>94</v>
      </c>
      <c r="P292" s="6"/>
      <c r="Q292" s="6"/>
      <c r="R292" s="6"/>
      <c r="S292" s="6"/>
      <c r="T292" s="6"/>
      <c r="U292" s="6"/>
      <c r="V292" s="6"/>
      <c r="W292" s="6"/>
      <c r="X292" s="6"/>
      <c r="Z292" s="7"/>
      <c r="AA292" s="7"/>
      <c r="AB292" s="7"/>
      <c r="AC292" s="7"/>
      <c r="AD292" s="7"/>
      <c r="AE292" s="12">
        <v>3</v>
      </c>
      <c r="AF292" s="6" t="s">
        <v>93</v>
      </c>
      <c r="AG292" s="6"/>
      <c r="AH292" s="6"/>
      <c r="AI292" s="6"/>
      <c r="AJ292" s="6"/>
      <c r="AK292" s="6"/>
      <c r="AL292" s="6"/>
      <c r="AM292" s="6"/>
      <c r="AN292" s="6"/>
      <c r="AO292" s="6"/>
      <c r="AQ292" s="6"/>
      <c r="AR292" s="6"/>
      <c r="AS292" s="6"/>
      <c r="AT292" s="6"/>
      <c r="AU292" s="6"/>
      <c r="AV292" s="11">
        <v>5</v>
      </c>
      <c r="AW292" s="6" t="s">
        <v>92</v>
      </c>
      <c r="AX292" s="6"/>
      <c r="AY292" s="6"/>
      <c r="AZ292" s="6"/>
      <c r="BA292" s="6"/>
      <c r="BB292" s="6"/>
      <c r="BC292" s="6"/>
      <c r="BD292" s="6"/>
      <c r="BE292" s="6"/>
      <c r="BF292" s="6"/>
      <c r="BH292" s="6"/>
      <c r="BI292" s="6"/>
      <c r="BJ292" s="6"/>
      <c r="BK292" s="6"/>
      <c r="BL292" s="6"/>
      <c r="BM292" s="11">
        <v>5</v>
      </c>
      <c r="BN292" s="6" t="s">
        <v>92</v>
      </c>
      <c r="BO292" s="6"/>
      <c r="BP292" s="6"/>
      <c r="BQ292" s="6"/>
      <c r="BR292" s="6"/>
      <c r="BS292" s="6"/>
      <c r="BT292" s="6"/>
      <c r="BU292" s="6"/>
      <c r="BV292" s="6"/>
      <c r="BW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P292" s="6"/>
      <c r="CQ292" s="7"/>
      <c r="CR292" s="6"/>
      <c r="CS292" s="6"/>
      <c r="CU292" s="6"/>
    </row>
    <row r="293" spans="1:99" x14ac:dyDescent="0.25">
      <c r="A293" s="6" t="s">
        <v>91</v>
      </c>
      <c r="B293" s="11"/>
      <c r="C293" s="6"/>
      <c r="D293" s="6"/>
      <c r="E293" s="8"/>
      <c r="F293" s="6"/>
      <c r="G293" s="6"/>
      <c r="I293" s="7"/>
      <c r="J293" s="7"/>
      <c r="K293" s="7"/>
      <c r="L293" s="7"/>
      <c r="M293" s="7"/>
      <c r="N293" s="12">
        <v>1</v>
      </c>
      <c r="O293" s="6" t="s">
        <v>90</v>
      </c>
      <c r="P293" s="6"/>
      <c r="Q293" s="6"/>
      <c r="R293" s="6"/>
      <c r="S293" s="6"/>
      <c r="T293" s="6"/>
      <c r="U293" s="6"/>
      <c r="V293" s="6"/>
      <c r="W293" s="6"/>
      <c r="X293" s="6"/>
      <c r="Z293" s="7"/>
      <c r="AA293" s="7"/>
      <c r="AB293" s="7"/>
      <c r="AC293" s="7"/>
      <c r="AD293" s="7"/>
      <c r="AE293" s="12">
        <v>1</v>
      </c>
      <c r="AF293" s="6" t="s">
        <v>90</v>
      </c>
      <c r="AG293" s="6"/>
      <c r="AH293" s="6"/>
      <c r="AI293" s="6"/>
      <c r="AJ293" s="6"/>
      <c r="AK293" s="6"/>
      <c r="AL293" s="6"/>
      <c r="AM293" s="6"/>
      <c r="AN293" s="6"/>
      <c r="AO293" s="6"/>
      <c r="AQ293" s="6"/>
      <c r="AR293" s="6"/>
      <c r="AS293" s="6"/>
      <c r="AT293" s="6"/>
      <c r="AU293" s="6"/>
      <c r="AV293" s="11">
        <v>1</v>
      </c>
      <c r="AW293" s="6" t="s">
        <v>90</v>
      </c>
      <c r="AX293" s="6"/>
      <c r="AY293" s="6"/>
      <c r="AZ293" s="6"/>
      <c r="BA293" s="6"/>
      <c r="BB293" s="6"/>
      <c r="BC293" s="6"/>
      <c r="BD293" s="6"/>
      <c r="BE293" s="6"/>
      <c r="BF293" s="6"/>
      <c r="BH293" s="6"/>
      <c r="BI293" s="6"/>
      <c r="BJ293" s="6"/>
      <c r="BK293" s="6"/>
      <c r="BL293" s="6"/>
      <c r="BM293" s="11">
        <v>1</v>
      </c>
      <c r="BN293" s="6" t="s">
        <v>90</v>
      </c>
      <c r="BO293" s="6"/>
      <c r="BP293" s="6"/>
      <c r="BQ293" s="6"/>
      <c r="BR293" s="6"/>
      <c r="BS293" s="6"/>
      <c r="BT293" s="6"/>
      <c r="BU293" s="6"/>
      <c r="BV293" s="6"/>
      <c r="BW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P293" s="6"/>
      <c r="CQ293" s="7"/>
      <c r="CR293" s="6"/>
      <c r="CS293" s="6"/>
      <c r="CU293" s="7"/>
    </row>
    <row r="294" spans="1:99" x14ac:dyDescent="0.25">
      <c r="A294" s="6" t="s">
        <v>89</v>
      </c>
      <c r="B294" s="11"/>
      <c r="C294" s="6"/>
      <c r="D294" s="6"/>
      <c r="E294" s="8"/>
      <c r="F294" s="6"/>
      <c r="G294" s="6"/>
      <c r="I294" s="7"/>
      <c r="J294" s="7"/>
      <c r="K294" s="7"/>
      <c r="L294" s="7"/>
      <c r="M294" s="7"/>
      <c r="N294" s="12">
        <v>3</v>
      </c>
      <c r="O294" s="6" t="s">
        <v>88</v>
      </c>
      <c r="P294" s="6"/>
      <c r="Q294" s="6"/>
      <c r="R294" s="6"/>
      <c r="S294" s="6"/>
      <c r="T294" s="6"/>
      <c r="U294" s="6"/>
      <c r="V294" s="6"/>
      <c r="W294" s="6"/>
      <c r="X294" s="6"/>
      <c r="Z294" s="7"/>
      <c r="AA294" s="7"/>
      <c r="AB294" s="7"/>
      <c r="AC294" s="7"/>
      <c r="AD294" s="7"/>
      <c r="AE294" s="12">
        <v>3</v>
      </c>
      <c r="AF294" s="6" t="s">
        <v>88</v>
      </c>
      <c r="AG294" s="6"/>
      <c r="AH294" s="6"/>
      <c r="AI294" s="6"/>
      <c r="AJ294" s="6"/>
      <c r="AK294" s="6"/>
      <c r="AL294" s="6"/>
      <c r="AM294" s="6"/>
      <c r="AN294" s="6"/>
      <c r="AO294" s="6"/>
      <c r="AQ294" s="6"/>
      <c r="AR294" s="6"/>
      <c r="AS294" s="6"/>
      <c r="AT294" s="6"/>
      <c r="AU294" s="6"/>
      <c r="AV294" s="11">
        <v>3</v>
      </c>
      <c r="AW294" s="6" t="s">
        <v>88</v>
      </c>
      <c r="AX294" s="6"/>
      <c r="AY294" s="6"/>
      <c r="AZ294" s="6"/>
      <c r="BA294" s="6"/>
      <c r="BB294" s="6"/>
      <c r="BC294" s="6"/>
      <c r="BD294" s="6"/>
      <c r="BE294" s="6"/>
      <c r="BF294" s="6"/>
      <c r="BH294" s="6"/>
      <c r="BI294" s="6"/>
      <c r="BJ294" s="6"/>
      <c r="BK294" s="6"/>
      <c r="BL294" s="6"/>
      <c r="BM294" s="11">
        <v>3</v>
      </c>
      <c r="BN294" s="6" t="s">
        <v>88</v>
      </c>
      <c r="BO294" s="6"/>
      <c r="BP294" s="6"/>
      <c r="BQ294" s="6"/>
      <c r="BR294" s="6"/>
      <c r="BS294" s="6"/>
      <c r="BT294" s="6"/>
      <c r="BU294" s="6"/>
      <c r="BV294" s="6"/>
      <c r="BW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  <c r="CM294" s="6"/>
      <c r="CN294" s="6"/>
      <c r="CP294" s="6"/>
      <c r="CQ294" s="6"/>
      <c r="CR294" s="6"/>
      <c r="CS294" s="7"/>
      <c r="CU294" s="6"/>
    </row>
    <row r="295" spans="1:99" x14ac:dyDescent="0.25">
      <c r="A295" s="6" t="s">
        <v>87</v>
      </c>
      <c r="B295" s="11"/>
      <c r="C295" s="6"/>
      <c r="D295" s="6"/>
      <c r="E295" s="8"/>
      <c r="F295" s="6"/>
      <c r="G295" s="6"/>
      <c r="I295" s="7"/>
      <c r="J295" s="7"/>
      <c r="K295" s="7"/>
      <c r="L295" s="7"/>
      <c r="M295" s="7"/>
      <c r="N295" s="12">
        <v>5</v>
      </c>
      <c r="O295" s="6" t="s">
        <v>86</v>
      </c>
      <c r="P295" s="6"/>
      <c r="Q295" s="6"/>
      <c r="R295" s="6"/>
      <c r="S295" s="6"/>
      <c r="T295" s="6"/>
      <c r="U295" s="6"/>
      <c r="V295" s="6"/>
      <c r="W295" s="6"/>
      <c r="X295" s="6"/>
      <c r="Z295" s="7"/>
      <c r="AA295" s="7"/>
      <c r="AB295" s="7"/>
      <c r="AC295" s="7"/>
      <c r="AD295" s="7"/>
      <c r="AE295" s="12">
        <v>5</v>
      </c>
      <c r="AF295" s="6" t="s">
        <v>86</v>
      </c>
      <c r="AG295" s="6"/>
      <c r="AH295" s="6"/>
      <c r="AI295" s="6"/>
      <c r="AJ295" s="6"/>
      <c r="AK295" s="6"/>
      <c r="AL295" s="6"/>
      <c r="AM295" s="6"/>
      <c r="AN295" s="6"/>
      <c r="AO295" s="6"/>
      <c r="AQ295" s="6"/>
      <c r="AR295" s="6"/>
      <c r="AS295" s="6"/>
      <c r="AT295" s="6"/>
      <c r="AU295" s="6"/>
      <c r="AV295" s="11">
        <v>5</v>
      </c>
      <c r="AW295" s="6" t="s">
        <v>86</v>
      </c>
      <c r="AX295" s="6"/>
      <c r="AY295" s="6"/>
      <c r="AZ295" s="6"/>
      <c r="BA295" s="6"/>
      <c r="BB295" s="6"/>
      <c r="BC295" s="6"/>
      <c r="BD295" s="6"/>
      <c r="BE295" s="6"/>
      <c r="BF295" s="6"/>
      <c r="BH295" s="6"/>
      <c r="BI295" s="6"/>
      <c r="BJ295" s="6"/>
      <c r="BK295" s="6"/>
      <c r="BL295" s="6"/>
      <c r="BM295" s="11">
        <v>5</v>
      </c>
      <c r="BN295" s="6" t="s">
        <v>86</v>
      </c>
      <c r="BO295" s="6"/>
      <c r="BP295" s="6"/>
      <c r="BQ295" s="6"/>
      <c r="BR295" s="6"/>
      <c r="BS295" s="6"/>
      <c r="BT295" s="6"/>
      <c r="BU295" s="6"/>
      <c r="BV295" s="6"/>
      <c r="BW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  <c r="CM295" s="6"/>
      <c r="CN295" s="6"/>
      <c r="CP295" s="6"/>
      <c r="CQ295" s="6"/>
      <c r="CR295" s="6"/>
      <c r="CS295" s="6"/>
      <c r="CU295" s="6"/>
    </row>
    <row r="296" spans="1:99" x14ac:dyDescent="0.25">
      <c r="A296" s="6" t="s">
        <v>85</v>
      </c>
      <c r="B296" s="11"/>
      <c r="C296" s="6"/>
      <c r="D296" s="6"/>
      <c r="E296" s="8"/>
      <c r="F296" s="6"/>
      <c r="G296" s="6"/>
      <c r="I296" s="7"/>
      <c r="J296" s="7"/>
      <c r="K296" s="7"/>
      <c r="L296" s="7"/>
      <c r="M296" s="7"/>
      <c r="N296" s="12">
        <v>5</v>
      </c>
      <c r="O296" s="6" t="s">
        <v>84</v>
      </c>
      <c r="P296" s="6"/>
      <c r="Q296" s="6"/>
      <c r="R296" s="6"/>
      <c r="S296" s="6"/>
      <c r="T296" s="6"/>
      <c r="U296" s="6"/>
      <c r="V296" s="6"/>
      <c r="W296" s="6"/>
      <c r="X296" s="6"/>
      <c r="Z296" s="7"/>
      <c r="AA296" s="7"/>
      <c r="AB296" s="7"/>
      <c r="AC296" s="7"/>
      <c r="AD296" s="7"/>
      <c r="AE296" s="12">
        <v>5</v>
      </c>
      <c r="AF296" s="6" t="s">
        <v>84</v>
      </c>
      <c r="AG296" s="6"/>
      <c r="AH296" s="6"/>
      <c r="AI296" s="6"/>
      <c r="AJ296" s="6"/>
      <c r="AK296" s="6"/>
      <c r="AL296" s="6"/>
      <c r="AM296" s="6"/>
      <c r="AN296" s="6"/>
      <c r="AO296" s="6"/>
      <c r="AQ296" s="6"/>
      <c r="AR296" s="6"/>
      <c r="AS296" s="6"/>
      <c r="AT296" s="6"/>
      <c r="AU296" s="6"/>
      <c r="AV296" s="11">
        <v>5</v>
      </c>
      <c r="AW296" s="6" t="s">
        <v>84</v>
      </c>
      <c r="AX296" s="6"/>
      <c r="AY296" s="6"/>
      <c r="AZ296" s="6"/>
      <c r="BA296" s="6"/>
      <c r="BB296" s="6"/>
      <c r="BC296" s="6"/>
      <c r="BD296" s="6"/>
      <c r="BE296" s="6"/>
      <c r="BF296" s="6"/>
      <c r="BH296" s="6"/>
      <c r="BI296" s="6"/>
      <c r="BJ296" s="6"/>
      <c r="BK296" s="6"/>
      <c r="BL296" s="6"/>
      <c r="BM296" s="11">
        <v>5</v>
      </c>
      <c r="BN296" s="6" t="s">
        <v>84</v>
      </c>
      <c r="BO296" s="6"/>
      <c r="BP296" s="6"/>
      <c r="BQ296" s="6"/>
      <c r="BR296" s="6"/>
      <c r="BS296" s="6"/>
      <c r="BT296" s="6"/>
      <c r="BU296" s="6"/>
      <c r="BV296" s="6"/>
      <c r="BW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  <c r="CM296" s="6"/>
      <c r="CN296" s="6"/>
      <c r="CP296" s="6"/>
      <c r="CQ296" s="6"/>
      <c r="CR296" s="6"/>
      <c r="CS296" s="6"/>
      <c r="CU296" s="6"/>
    </row>
    <row r="297" spans="1:99" x14ac:dyDescent="0.25">
      <c r="A297" s="6" t="s">
        <v>83</v>
      </c>
      <c r="B297" s="11"/>
      <c r="C297" s="6"/>
      <c r="D297" s="6"/>
      <c r="E297" s="8"/>
      <c r="F297" s="6"/>
      <c r="G297" s="6"/>
      <c r="I297" s="7"/>
      <c r="J297" s="7"/>
      <c r="K297" s="7"/>
      <c r="L297" s="7"/>
      <c r="M297" s="7"/>
      <c r="N297" s="12">
        <v>5</v>
      </c>
      <c r="O297" s="6" t="s">
        <v>82</v>
      </c>
      <c r="P297" s="6"/>
      <c r="Q297" s="6"/>
      <c r="R297" s="6"/>
      <c r="S297" s="6"/>
      <c r="T297" s="6"/>
      <c r="U297" s="6"/>
      <c r="V297" s="6"/>
      <c r="W297" s="6"/>
      <c r="X297" s="6"/>
      <c r="Z297" s="7"/>
      <c r="AA297" s="7"/>
      <c r="AB297" s="7"/>
      <c r="AC297" s="7"/>
      <c r="AD297" s="7"/>
      <c r="AE297" s="12">
        <v>5</v>
      </c>
      <c r="AF297" s="6" t="s">
        <v>82</v>
      </c>
      <c r="AG297" s="6"/>
      <c r="AH297" s="6"/>
      <c r="AI297" s="6"/>
      <c r="AJ297" s="6"/>
      <c r="AK297" s="6"/>
      <c r="AL297" s="6"/>
      <c r="AM297" s="6"/>
      <c r="AN297" s="6"/>
      <c r="AO297" s="6"/>
      <c r="AQ297" s="6"/>
      <c r="AR297" s="6"/>
      <c r="AS297" s="6"/>
      <c r="AT297" s="6"/>
      <c r="AU297" s="6"/>
      <c r="AV297" s="11">
        <v>5</v>
      </c>
      <c r="AW297" s="6" t="s">
        <v>82</v>
      </c>
      <c r="AX297" s="6"/>
      <c r="AY297" s="6"/>
      <c r="AZ297" s="6"/>
      <c r="BA297" s="6"/>
      <c r="BB297" s="6"/>
      <c r="BC297" s="6"/>
      <c r="BD297" s="6"/>
      <c r="BE297" s="6"/>
      <c r="BF297" s="6"/>
      <c r="BH297" s="6"/>
      <c r="BI297" s="6"/>
      <c r="BJ297" s="6"/>
      <c r="BK297" s="6"/>
      <c r="BL297" s="6"/>
      <c r="BM297" s="11">
        <v>5</v>
      </c>
      <c r="BN297" s="6" t="s">
        <v>82</v>
      </c>
      <c r="BO297" s="6"/>
      <c r="BP297" s="6"/>
      <c r="BQ297" s="6"/>
      <c r="BR297" s="6"/>
      <c r="BS297" s="6"/>
      <c r="BT297" s="6"/>
      <c r="BU297" s="6"/>
      <c r="BV297" s="6"/>
      <c r="BW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  <c r="CM297" s="6"/>
      <c r="CN297" s="6"/>
      <c r="CP297" s="6"/>
      <c r="CQ297" s="6"/>
      <c r="CR297" s="6"/>
      <c r="CS297" s="6"/>
      <c r="CU297" s="6"/>
    </row>
    <row r="298" spans="1:99" x14ac:dyDescent="0.25">
      <c r="A298" s="6"/>
      <c r="B298" s="6"/>
      <c r="C298" s="6"/>
      <c r="D298" s="6"/>
      <c r="E298" s="8"/>
      <c r="F298" s="6"/>
      <c r="G298" s="6"/>
      <c r="I298" s="7"/>
      <c r="J298" s="7"/>
      <c r="K298" s="7"/>
      <c r="L298" s="7"/>
      <c r="M298" s="7"/>
      <c r="N298" s="7"/>
      <c r="O298" s="6"/>
      <c r="P298" s="6"/>
      <c r="Q298" s="6"/>
      <c r="R298" s="6"/>
      <c r="S298" s="6"/>
      <c r="T298" s="6"/>
      <c r="U298" s="6"/>
      <c r="V298" s="6"/>
      <c r="W298" s="6"/>
      <c r="X298" s="6"/>
      <c r="Z298" s="7"/>
      <c r="AA298" s="7"/>
      <c r="AB298" s="7"/>
      <c r="AC298" s="7"/>
      <c r="AD298" s="7"/>
      <c r="AE298" s="7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  <c r="CM298" s="6"/>
      <c r="CN298" s="6"/>
      <c r="CP298" s="6"/>
      <c r="CQ298" s="6"/>
      <c r="CR298" s="6"/>
      <c r="CS298" s="6"/>
      <c r="CU298" s="6"/>
    </row>
    <row r="299" spans="1:99" ht="13.8" x14ac:dyDescent="0.25">
      <c r="A299" s="10" t="s">
        <v>81</v>
      </c>
      <c r="B299" s="6"/>
      <c r="C299" s="6"/>
      <c r="D299" s="6"/>
      <c r="E299" s="8"/>
      <c r="F299" s="6"/>
      <c r="G299" s="6"/>
      <c r="I299" s="7"/>
      <c r="J299" s="7"/>
      <c r="K299" s="7"/>
      <c r="L299" s="7"/>
      <c r="M299" s="7"/>
      <c r="N299" s="7"/>
      <c r="O299" s="6"/>
      <c r="P299" s="6"/>
      <c r="Q299" s="6"/>
      <c r="R299" s="6"/>
      <c r="S299" s="6"/>
      <c r="T299" s="6"/>
      <c r="U299" s="6"/>
      <c r="V299" s="6"/>
      <c r="W299" s="6"/>
      <c r="X299" s="6"/>
      <c r="Z299" s="7"/>
      <c r="AA299" s="7"/>
      <c r="AB299" s="7"/>
      <c r="AC299" s="7"/>
      <c r="AD299" s="7"/>
      <c r="AE299" s="7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  <c r="CM299" s="6"/>
      <c r="CN299" s="6"/>
      <c r="CP299" s="6"/>
      <c r="CQ299" s="6"/>
      <c r="CR299" s="6"/>
      <c r="CS299" s="6"/>
      <c r="CU299" s="6"/>
    </row>
    <row r="300" spans="1:99" x14ac:dyDescent="0.25">
      <c r="A300" s="6" t="s">
        <v>80</v>
      </c>
      <c r="B300" s="6" t="s">
        <v>79</v>
      </c>
      <c r="C300" s="6"/>
      <c r="D300" s="6"/>
      <c r="E300" s="8"/>
      <c r="F300" s="6"/>
      <c r="G300" s="6"/>
      <c r="I300" s="7"/>
      <c r="J300" s="7"/>
      <c r="K300" s="7"/>
      <c r="L300" s="7"/>
      <c r="M300" s="7"/>
      <c r="N300" s="7"/>
      <c r="O300" s="6"/>
      <c r="P300" s="6"/>
      <c r="Q300" s="6"/>
      <c r="R300" s="6"/>
      <c r="S300" s="6"/>
      <c r="T300" s="6"/>
      <c r="U300" s="6"/>
      <c r="V300" s="6"/>
      <c r="W300" s="6"/>
      <c r="X300" s="6"/>
      <c r="Z300" s="7"/>
      <c r="AA300" s="7"/>
      <c r="AB300" s="7"/>
      <c r="AC300" s="7"/>
      <c r="AD300" s="7"/>
      <c r="AE300" s="7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  <c r="CM300" s="6"/>
      <c r="CN300" s="6"/>
      <c r="CP300" s="6"/>
      <c r="CQ300" s="6"/>
      <c r="CR300" s="6"/>
      <c r="CS300" s="6"/>
      <c r="CU300" s="6"/>
    </row>
    <row r="301" spans="1:99" x14ac:dyDescent="0.25">
      <c r="A301" s="6" t="s">
        <v>78</v>
      </c>
      <c r="B301" s="6"/>
      <c r="C301" s="6"/>
      <c r="D301" s="6"/>
      <c r="E301" s="8"/>
      <c r="F301" s="6"/>
      <c r="G301" s="6"/>
      <c r="I301" s="7"/>
      <c r="J301" s="7"/>
      <c r="K301" s="7"/>
      <c r="L301" s="7"/>
      <c r="M301" s="7"/>
      <c r="N301" s="7"/>
      <c r="O301" s="6"/>
      <c r="P301" s="6"/>
      <c r="Q301" s="6"/>
      <c r="R301" s="6"/>
      <c r="S301" s="6"/>
      <c r="T301" s="6"/>
      <c r="U301" s="6"/>
      <c r="V301" s="6"/>
      <c r="W301" s="6"/>
      <c r="X301" s="6"/>
      <c r="Z301" s="7"/>
      <c r="AA301" s="7"/>
      <c r="AB301" s="7"/>
      <c r="AC301" s="7"/>
      <c r="AD301" s="7"/>
      <c r="AE301" s="7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  <c r="CM301" s="6"/>
      <c r="CN301" s="6"/>
      <c r="CP301" s="6"/>
      <c r="CQ301" s="6"/>
      <c r="CR301" s="6"/>
      <c r="CS301" s="6"/>
      <c r="CU301" s="6"/>
    </row>
    <row r="302" spans="1:99" x14ac:dyDescent="0.25">
      <c r="A302" s="6" t="s">
        <v>77</v>
      </c>
      <c r="B302" s="6"/>
      <c r="C302" s="6"/>
      <c r="D302" s="6"/>
      <c r="E302" s="8"/>
      <c r="F302" s="6"/>
      <c r="G302" s="6"/>
      <c r="I302" s="7"/>
      <c r="J302" s="7"/>
      <c r="K302" s="7"/>
      <c r="L302" s="7"/>
      <c r="M302" s="7"/>
      <c r="N302" s="7"/>
      <c r="O302" s="6"/>
      <c r="P302" s="6"/>
      <c r="Q302" s="6"/>
      <c r="R302" s="6"/>
      <c r="S302" s="6"/>
      <c r="T302" s="6"/>
      <c r="U302" s="6"/>
      <c r="V302" s="6"/>
      <c r="W302" s="6"/>
      <c r="X302" s="6"/>
      <c r="Z302" s="7"/>
      <c r="AA302" s="7"/>
      <c r="AB302" s="7"/>
      <c r="AC302" s="7"/>
      <c r="AD302" s="7"/>
      <c r="AE302" s="7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  <c r="CM302" s="6"/>
      <c r="CN302" s="6"/>
      <c r="CP302" s="6"/>
      <c r="CQ302" s="6"/>
      <c r="CR302" s="6"/>
      <c r="CS302" s="6"/>
      <c r="CU302" s="6"/>
    </row>
    <row r="303" spans="1:99" x14ac:dyDescent="0.25">
      <c r="A303" s="6" t="s">
        <v>76</v>
      </c>
      <c r="B303" s="6"/>
      <c r="C303" s="6"/>
      <c r="D303" s="6"/>
      <c r="E303" s="8"/>
      <c r="F303" s="6"/>
      <c r="G303" s="6"/>
      <c r="I303" s="7"/>
      <c r="J303" s="7"/>
      <c r="K303" s="7"/>
      <c r="L303" s="7"/>
      <c r="M303" s="7"/>
      <c r="N303" s="7"/>
      <c r="O303" s="6"/>
      <c r="P303" s="6"/>
      <c r="Q303" s="6"/>
      <c r="R303" s="6"/>
      <c r="S303" s="6"/>
      <c r="T303" s="6"/>
      <c r="U303" s="6"/>
      <c r="V303" s="6"/>
      <c r="W303" s="6"/>
      <c r="X303" s="6"/>
      <c r="Z303" s="7"/>
      <c r="AA303" s="7"/>
      <c r="AB303" s="7"/>
      <c r="AC303" s="7"/>
      <c r="AD303" s="7"/>
      <c r="AE303" s="7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  <c r="CM303" s="6"/>
      <c r="CN303" s="6"/>
      <c r="CP303" s="6"/>
      <c r="CQ303" s="6"/>
      <c r="CR303" s="6"/>
      <c r="CS303" s="6"/>
      <c r="CU303" s="6"/>
    </row>
    <row r="304" spans="1:99" x14ac:dyDescent="0.25">
      <c r="A304" s="6" t="s">
        <v>75</v>
      </c>
      <c r="B304" s="6"/>
      <c r="C304" s="6"/>
      <c r="D304" s="6"/>
      <c r="E304" s="8"/>
      <c r="F304" s="6"/>
      <c r="G304" s="6"/>
      <c r="I304" s="7"/>
      <c r="J304" s="7"/>
      <c r="K304" s="7"/>
      <c r="L304" s="7"/>
      <c r="M304" s="7"/>
      <c r="N304" s="7"/>
      <c r="O304" s="6"/>
      <c r="P304" s="6"/>
      <c r="Q304" s="6"/>
      <c r="R304" s="6"/>
      <c r="S304" s="6"/>
      <c r="T304" s="6"/>
      <c r="U304" s="6"/>
      <c r="V304" s="6"/>
      <c r="W304" s="6"/>
      <c r="X304" s="6"/>
      <c r="Z304" s="7"/>
      <c r="AA304" s="7"/>
      <c r="AB304" s="7"/>
      <c r="AC304" s="7"/>
      <c r="AD304" s="7"/>
      <c r="AE304" s="7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  <c r="CM304" s="6"/>
      <c r="CN304" s="6"/>
      <c r="CP304" s="6"/>
      <c r="CQ304" s="6"/>
      <c r="CR304" s="6"/>
      <c r="CS304" s="6"/>
      <c r="CU304" s="6"/>
    </row>
    <row r="305" spans="1:99" x14ac:dyDescent="0.25">
      <c r="A305" s="6" t="s">
        <v>74</v>
      </c>
      <c r="B305" s="6"/>
      <c r="C305" s="6"/>
      <c r="D305" s="6"/>
      <c r="E305" s="8"/>
      <c r="F305" s="6"/>
      <c r="G305" s="6"/>
      <c r="I305" s="7"/>
      <c r="J305" s="7"/>
      <c r="K305" s="7"/>
      <c r="L305" s="7"/>
      <c r="M305" s="7"/>
      <c r="N305" s="7"/>
      <c r="O305" s="6"/>
      <c r="P305" s="6"/>
      <c r="Q305" s="6"/>
      <c r="R305" s="6"/>
      <c r="S305" s="6"/>
      <c r="T305" s="6"/>
      <c r="U305" s="6"/>
      <c r="V305" s="6"/>
      <c r="W305" s="6"/>
      <c r="X305" s="6"/>
      <c r="Z305" s="7"/>
      <c r="AA305" s="7"/>
      <c r="AB305" s="7"/>
      <c r="AC305" s="7"/>
      <c r="AD305" s="7"/>
      <c r="AE305" s="7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  <c r="CM305" s="6"/>
      <c r="CN305" s="6"/>
      <c r="CP305" s="6"/>
      <c r="CQ305" s="6"/>
      <c r="CR305" s="6"/>
      <c r="CS305" s="6"/>
      <c r="CU305" s="6"/>
    </row>
    <row r="306" spans="1:99" x14ac:dyDescent="0.25">
      <c r="A306" s="1" t="s">
        <v>73</v>
      </c>
      <c r="B306" s="6"/>
      <c r="C306" s="6"/>
      <c r="D306" s="6"/>
      <c r="E306" s="8"/>
      <c r="F306" s="6"/>
      <c r="G306" s="6"/>
      <c r="I306" s="7"/>
      <c r="J306" s="7"/>
      <c r="K306" s="7"/>
      <c r="L306" s="7"/>
      <c r="M306" s="7"/>
      <c r="N306" s="7"/>
      <c r="O306" s="6"/>
      <c r="P306" s="6"/>
      <c r="Q306" s="6"/>
      <c r="R306" s="6"/>
      <c r="S306" s="6"/>
      <c r="T306" s="6"/>
      <c r="U306" s="6"/>
      <c r="V306" s="6"/>
      <c r="W306" s="6"/>
      <c r="X306" s="6"/>
      <c r="Z306" s="7"/>
      <c r="AA306" s="7"/>
      <c r="AB306" s="7"/>
      <c r="AC306" s="7"/>
      <c r="AD306" s="7"/>
      <c r="AE306" s="7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  <c r="CM306" s="6"/>
      <c r="CN306" s="6"/>
      <c r="CP306" s="6"/>
      <c r="CQ306" s="6"/>
      <c r="CR306" s="6"/>
      <c r="CS306" s="6"/>
      <c r="CU306" s="6"/>
    </row>
    <row r="307" spans="1:99" x14ac:dyDescent="0.25">
      <c r="A307" s="9" t="s">
        <v>72</v>
      </c>
      <c r="B307" s="6"/>
      <c r="C307" s="6"/>
      <c r="D307" s="6"/>
      <c r="E307" s="8"/>
      <c r="F307" s="6"/>
      <c r="G307" s="6"/>
      <c r="I307" s="7"/>
      <c r="J307" s="7"/>
      <c r="K307" s="7"/>
      <c r="L307" s="7"/>
      <c r="M307" s="7"/>
      <c r="N307" s="7"/>
      <c r="O307" s="6"/>
      <c r="P307" s="6"/>
      <c r="Q307" s="6"/>
      <c r="R307" s="6"/>
      <c r="S307" s="6"/>
      <c r="T307" s="6"/>
      <c r="U307" s="6"/>
      <c r="V307" s="6"/>
      <c r="W307" s="6"/>
      <c r="X307" s="6"/>
      <c r="Z307" s="7"/>
      <c r="AA307" s="7"/>
      <c r="AB307" s="7"/>
      <c r="AC307" s="7"/>
      <c r="AD307" s="7"/>
      <c r="AE307" s="7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  <c r="CM307" s="6"/>
      <c r="CN307" s="6"/>
      <c r="CP307" s="6"/>
      <c r="CQ307" s="6"/>
      <c r="CR307" s="6"/>
      <c r="CS307" s="6"/>
      <c r="CU307" s="6"/>
    </row>
    <row r="308" spans="1:99" x14ac:dyDescent="0.25">
      <c r="A308" s="6" t="s">
        <v>71</v>
      </c>
      <c r="B308" s="6"/>
      <c r="C308" s="6"/>
      <c r="D308" s="6"/>
      <c r="E308" s="8"/>
      <c r="F308" s="6"/>
      <c r="G308" s="6"/>
      <c r="I308" s="7"/>
      <c r="J308" s="7"/>
      <c r="K308" s="7"/>
      <c r="L308" s="7"/>
      <c r="M308" s="7"/>
      <c r="N308" s="7"/>
      <c r="O308" s="6"/>
      <c r="P308" s="6"/>
      <c r="Q308" s="6"/>
      <c r="R308" s="6"/>
      <c r="S308" s="6"/>
      <c r="T308" s="6"/>
      <c r="U308" s="6"/>
      <c r="V308" s="6"/>
      <c r="W308" s="6"/>
      <c r="X308" s="6"/>
      <c r="Z308" s="7"/>
      <c r="AA308" s="7"/>
      <c r="AB308" s="7"/>
      <c r="AC308" s="7"/>
      <c r="AD308" s="7"/>
      <c r="AE308" s="7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  <c r="CM308" s="6"/>
      <c r="CN308" s="6"/>
      <c r="CP308" s="6"/>
      <c r="CQ308" s="6"/>
      <c r="CR308" s="6"/>
      <c r="CS308" s="6"/>
      <c r="CU308" s="6"/>
    </row>
    <row r="309" spans="1:99" x14ac:dyDescent="0.25">
      <c r="A309" s="6" t="s">
        <v>70</v>
      </c>
      <c r="B309" s="6"/>
      <c r="C309" s="6"/>
      <c r="D309" s="6"/>
      <c r="E309" s="8"/>
      <c r="F309" s="6"/>
      <c r="G309" s="6"/>
      <c r="I309" s="7"/>
      <c r="J309" s="7"/>
      <c r="K309" s="7"/>
      <c r="L309" s="7"/>
      <c r="M309" s="7"/>
      <c r="N309" s="7"/>
      <c r="O309" s="6"/>
      <c r="P309" s="6"/>
      <c r="Q309" s="6"/>
      <c r="R309" s="6"/>
      <c r="S309" s="6"/>
      <c r="T309" s="6"/>
      <c r="U309" s="6"/>
      <c r="V309" s="6"/>
      <c r="W309" s="6"/>
      <c r="X309" s="6"/>
      <c r="Z309" s="7"/>
      <c r="AA309" s="7"/>
      <c r="AB309" s="7"/>
      <c r="AC309" s="7"/>
      <c r="AD309" s="7"/>
      <c r="AE309" s="7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  <c r="CL309" s="6"/>
      <c r="CM309" s="6"/>
      <c r="CN309" s="6"/>
      <c r="CP309" s="6"/>
      <c r="CQ309" s="6"/>
      <c r="CR309" s="6"/>
      <c r="CS309" s="6"/>
      <c r="CU309" s="6"/>
    </row>
    <row r="310" spans="1:99" x14ac:dyDescent="0.25">
      <c r="A310" s="6" t="s">
        <v>69</v>
      </c>
      <c r="B310" s="6"/>
      <c r="C310" s="6"/>
      <c r="D310" s="6"/>
      <c r="E310" s="8"/>
      <c r="F310" s="6"/>
      <c r="G310" s="6"/>
      <c r="I310" s="7"/>
      <c r="J310" s="7"/>
      <c r="K310" s="7"/>
      <c r="L310" s="7"/>
      <c r="M310" s="7"/>
      <c r="N310" s="7"/>
      <c r="O310" s="6"/>
      <c r="P310" s="6"/>
      <c r="Q310" s="6"/>
      <c r="R310" s="6"/>
      <c r="S310" s="6"/>
      <c r="T310" s="6"/>
      <c r="U310" s="6"/>
      <c r="V310" s="6"/>
      <c r="W310" s="6"/>
      <c r="X310" s="6"/>
      <c r="Z310" s="7"/>
      <c r="AA310" s="7"/>
      <c r="AB310" s="7"/>
      <c r="AC310" s="7"/>
      <c r="AD310" s="7"/>
      <c r="AE310" s="7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  <c r="CL310" s="6"/>
      <c r="CM310" s="6"/>
      <c r="CN310" s="6"/>
      <c r="CP310" s="6"/>
      <c r="CQ310" s="6"/>
      <c r="CR310" s="6"/>
      <c r="CS310" s="6"/>
      <c r="CU310" s="6"/>
    </row>
    <row r="311" spans="1:99" x14ac:dyDescent="0.25">
      <c r="A311" s="6" t="s">
        <v>68</v>
      </c>
      <c r="B311" s="6"/>
      <c r="C311" s="6"/>
      <c r="D311" s="6"/>
      <c r="E311" s="8"/>
      <c r="F311" s="6"/>
      <c r="G311" s="6"/>
      <c r="I311" s="7"/>
      <c r="J311" s="7"/>
      <c r="K311" s="7"/>
      <c r="L311" s="7"/>
      <c r="M311" s="7"/>
      <c r="N311" s="7"/>
      <c r="O311" s="6"/>
      <c r="P311" s="6"/>
      <c r="Q311" s="6"/>
      <c r="R311" s="6"/>
      <c r="S311" s="6"/>
      <c r="T311" s="6"/>
      <c r="U311" s="6"/>
      <c r="V311" s="6"/>
      <c r="W311" s="6"/>
      <c r="X311" s="6"/>
      <c r="Z311" s="7"/>
      <c r="AA311" s="7"/>
      <c r="AB311" s="7"/>
      <c r="AC311" s="7"/>
      <c r="AD311" s="7"/>
      <c r="AE311" s="7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  <c r="CL311" s="6"/>
      <c r="CM311" s="6"/>
      <c r="CN311" s="6"/>
      <c r="CP311" s="6"/>
      <c r="CQ311" s="6"/>
      <c r="CR311" s="6"/>
      <c r="CS311" s="6"/>
      <c r="CU311" s="6"/>
    </row>
    <row r="312" spans="1:99" x14ac:dyDescent="0.25">
      <c r="A312" s="6" t="s">
        <v>67</v>
      </c>
      <c r="B312" s="6"/>
      <c r="C312" s="6"/>
      <c r="D312" s="6"/>
      <c r="E312" s="8"/>
      <c r="F312" s="6"/>
      <c r="G312" s="6"/>
      <c r="I312" s="7"/>
      <c r="J312" s="7"/>
      <c r="K312" s="7"/>
      <c r="L312" s="7"/>
      <c r="M312" s="7"/>
      <c r="N312" s="7"/>
      <c r="O312" s="6"/>
      <c r="P312" s="6"/>
      <c r="Q312" s="6"/>
      <c r="R312" s="6"/>
      <c r="S312" s="6"/>
      <c r="T312" s="6"/>
      <c r="U312" s="6"/>
      <c r="V312" s="6"/>
      <c r="W312" s="6"/>
      <c r="X312" s="6"/>
      <c r="Z312" s="7"/>
      <c r="AA312" s="7"/>
      <c r="AB312" s="7"/>
      <c r="AC312" s="7"/>
      <c r="AD312" s="7"/>
      <c r="AE312" s="7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  <c r="CL312" s="6"/>
      <c r="CM312" s="6"/>
      <c r="CN312" s="6"/>
      <c r="CP312" s="6"/>
      <c r="CQ312" s="6"/>
      <c r="CR312" s="6"/>
      <c r="CS312" s="6"/>
      <c r="CU312" s="6"/>
    </row>
    <row r="313" spans="1:99" x14ac:dyDescent="0.25">
      <c r="A313" s="6" t="s">
        <v>66</v>
      </c>
      <c r="B313" s="6"/>
      <c r="C313" s="6"/>
      <c r="D313" s="6"/>
      <c r="E313" s="8"/>
      <c r="F313" s="6"/>
      <c r="G313" s="6"/>
      <c r="I313" s="7"/>
      <c r="J313" s="7"/>
      <c r="K313" s="7"/>
      <c r="L313" s="7"/>
      <c r="M313" s="7"/>
      <c r="N313" s="7"/>
      <c r="O313" s="6"/>
      <c r="P313" s="6"/>
      <c r="Q313" s="6"/>
      <c r="R313" s="6"/>
      <c r="S313" s="6"/>
      <c r="T313" s="6"/>
      <c r="U313" s="6"/>
      <c r="V313" s="6"/>
      <c r="W313" s="6"/>
      <c r="X313" s="6"/>
      <c r="Z313" s="7"/>
      <c r="AA313" s="7"/>
      <c r="AB313" s="7"/>
      <c r="AC313" s="7"/>
      <c r="AD313" s="7"/>
      <c r="AE313" s="7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  <c r="CL313" s="6"/>
      <c r="CM313" s="6"/>
      <c r="CN313" s="6"/>
      <c r="CP313" s="6"/>
      <c r="CQ313" s="6"/>
      <c r="CR313" s="6"/>
      <c r="CS313" s="6"/>
      <c r="CU313" s="6"/>
    </row>
    <row r="314" spans="1:99" x14ac:dyDescent="0.25">
      <c r="A314" s="6" t="s">
        <v>65</v>
      </c>
    </row>
    <row r="315" spans="1:99" x14ac:dyDescent="0.25">
      <c r="A315" s="6" t="s">
        <v>64</v>
      </c>
    </row>
    <row r="316" spans="1:99" x14ac:dyDescent="0.25">
      <c r="A316" s="6" t="s">
        <v>63</v>
      </c>
    </row>
    <row r="317" spans="1:99" x14ac:dyDescent="0.25">
      <c r="A317" s="6" t="s">
        <v>62</v>
      </c>
    </row>
    <row r="318" spans="1:99" x14ac:dyDescent="0.25">
      <c r="A318" s="6" t="s">
        <v>61</v>
      </c>
    </row>
    <row r="319" spans="1:99" x14ac:dyDescent="0.25">
      <c r="A319" s="6" t="s">
        <v>60</v>
      </c>
    </row>
    <row r="320" spans="1:99" x14ac:dyDescent="0.25">
      <c r="A320" s="6" t="s">
        <v>59</v>
      </c>
    </row>
    <row r="321" spans="1:1" x14ac:dyDescent="0.25">
      <c r="A321" s="6" t="s">
        <v>58</v>
      </c>
    </row>
    <row r="322" spans="1:1" x14ac:dyDescent="0.25">
      <c r="A322" s="6" t="s">
        <v>57</v>
      </c>
    </row>
    <row r="323" spans="1:1" x14ac:dyDescent="0.25">
      <c r="A323" s="6" t="s">
        <v>56</v>
      </c>
    </row>
    <row r="324" spans="1:1" x14ac:dyDescent="0.25">
      <c r="A324" s="6" t="s">
        <v>55</v>
      </c>
    </row>
    <row r="325" spans="1:1" x14ac:dyDescent="0.25">
      <c r="A325" s="6" t="s">
        <v>54</v>
      </c>
    </row>
    <row r="326" spans="1:1" x14ac:dyDescent="0.25">
      <c r="A326" s="6" t="s">
        <v>53</v>
      </c>
    </row>
    <row r="327" spans="1:1" x14ac:dyDescent="0.25">
      <c r="A327" s="6" t="s">
        <v>52</v>
      </c>
    </row>
    <row r="328" spans="1:1" x14ac:dyDescent="0.25">
      <c r="A328" s="6" t="s">
        <v>51</v>
      </c>
    </row>
    <row r="329" spans="1:1" x14ac:dyDescent="0.25">
      <c r="A329" s="6" t="s">
        <v>50</v>
      </c>
    </row>
    <row r="330" spans="1:1" x14ac:dyDescent="0.25">
      <c r="A330" s="6" t="s">
        <v>49</v>
      </c>
    </row>
    <row r="331" spans="1:1" x14ac:dyDescent="0.25">
      <c r="A331" s="6" t="s">
        <v>48</v>
      </c>
    </row>
    <row r="332" spans="1:1" x14ac:dyDescent="0.25">
      <c r="A332" s="6" t="s">
        <v>47</v>
      </c>
    </row>
    <row r="333" spans="1:1" x14ac:dyDescent="0.25">
      <c r="A333" s="6" t="s">
        <v>46</v>
      </c>
    </row>
    <row r="334" spans="1:1" x14ac:dyDescent="0.25">
      <c r="A334" s="6" t="s">
        <v>45</v>
      </c>
    </row>
    <row r="335" spans="1:1" x14ac:dyDescent="0.25">
      <c r="A335" s="6" t="s">
        <v>44</v>
      </c>
    </row>
    <row r="336" spans="1:1" x14ac:dyDescent="0.25">
      <c r="A336" s="6" t="s">
        <v>43</v>
      </c>
    </row>
    <row r="337" spans="1:1" x14ac:dyDescent="0.25">
      <c r="A337" s="6" t="s">
        <v>42</v>
      </c>
    </row>
    <row r="338" spans="1:1" x14ac:dyDescent="0.25">
      <c r="A338" s="6" t="s">
        <v>41</v>
      </c>
    </row>
    <row r="339" spans="1:1" x14ac:dyDescent="0.25">
      <c r="A339" s="6" t="s">
        <v>40</v>
      </c>
    </row>
    <row r="340" spans="1:1" x14ac:dyDescent="0.25">
      <c r="A340" s="6" t="s">
        <v>39</v>
      </c>
    </row>
    <row r="341" spans="1:1" x14ac:dyDescent="0.25">
      <c r="A341" s="6" t="s">
        <v>38</v>
      </c>
    </row>
    <row r="342" spans="1:1" x14ac:dyDescent="0.25">
      <c r="A342" s="6" t="s">
        <v>37</v>
      </c>
    </row>
    <row r="343" spans="1:1" x14ac:dyDescent="0.25">
      <c r="A343" s="6" t="s">
        <v>36</v>
      </c>
    </row>
    <row r="344" spans="1:1" x14ac:dyDescent="0.25">
      <c r="A344" s="6" t="s">
        <v>35</v>
      </c>
    </row>
    <row r="345" spans="1:1" x14ac:dyDescent="0.25">
      <c r="A345" s="6" t="s">
        <v>34</v>
      </c>
    </row>
    <row r="346" spans="1:1" x14ac:dyDescent="0.25">
      <c r="A346" s="6" t="s">
        <v>33</v>
      </c>
    </row>
    <row r="347" spans="1:1" x14ac:dyDescent="0.25">
      <c r="A347" s="6" t="s">
        <v>32</v>
      </c>
    </row>
    <row r="348" spans="1:1" x14ac:dyDescent="0.25">
      <c r="A348" s="6" t="s">
        <v>31</v>
      </c>
    </row>
    <row r="349" spans="1:1" x14ac:dyDescent="0.25">
      <c r="A349" s="6" t="s">
        <v>30</v>
      </c>
    </row>
    <row r="350" spans="1:1" x14ac:dyDescent="0.25">
      <c r="A350" s="6" t="s">
        <v>29</v>
      </c>
    </row>
    <row r="351" spans="1:1" x14ac:dyDescent="0.25">
      <c r="A351" s="6" t="s">
        <v>28</v>
      </c>
    </row>
    <row r="352" spans="1:1" x14ac:dyDescent="0.25">
      <c r="A352" s="6" t="s">
        <v>27</v>
      </c>
    </row>
    <row r="353" spans="1:1" x14ac:dyDescent="0.25">
      <c r="A353" s="6" t="s">
        <v>26</v>
      </c>
    </row>
    <row r="354" spans="1:1" x14ac:dyDescent="0.25">
      <c r="A354" s="6" t="s">
        <v>25</v>
      </c>
    </row>
    <row r="355" spans="1:1" x14ac:dyDescent="0.25">
      <c r="A355" s="6" t="s">
        <v>24</v>
      </c>
    </row>
    <row r="356" spans="1:1" x14ac:dyDescent="0.25">
      <c r="A356" s="6" t="s">
        <v>23</v>
      </c>
    </row>
    <row r="357" spans="1:1" x14ac:dyDescent="0.25">
      <c r="A357" s="6" t="s">
        <v>22</v>
      </c>
    </row>
    <row r="358" spans="1:1" x14ac:dyDescent="0.25">
      <c r="A358" s="6" t="s">
        <v>21</v>
      </c>
    </row>
    <row r="359" spans="1:1" x14ac:dyDescent="0.25">
      <c r="A359" s="6" t="s">
        <v>20</v>
      </c>
    </row>
    <row r="360" spans="1:1" x14ac:dyDescent="0.25">
      <c r="A360" s="6" t="s">
        <v>19</v>
      </c>
    </row>
    <row r="361" spans="1:1" x14ac:dyDescent="0.25">
      <c r="A361" s="6" t="s">
        <v>18</v>
      </c>
    </row>
    <row r="362" spans="1:1" x14ac:dyDescent="0.25">
      <c r="A362" s="6" t="s">
        <v>17</v>
      </c>
    </row>
    <row r="363" spans="1:1" x14ac:dyDescent="0.25">
      <c r="A363" s="6" t="s">
        <v>16</v>
      </c>
    </row>
    <row r="364" spans="1:1" x14ac:dyDescent="0.25">
      <c r="A364" s="6" t="s">
        <v>15</v>
      </c>
    </row>
    <row r="365" spans="1:1" x14ac:dyDescent="0.25">
      <c r="A365" s="6" t="s">
        <v>14</v>
      </c>
    </row>
    <row r="366" spans="1:1" x14ac:dyDescent="0.25">
      <c r="A366" s="6" t="s">
        <v>13</v>
      </c>
    </row>
    <row r="367" spans="1:1" x14ac:dyDescent="0.25">
      <c r="A367" s="6" t="s">
        <v>12</v>
      </c>
    </row>
    <row r="368" spans="1:1" x14ac:dyDescent="0.25">
      <c r="A368" s="6" t="s">
        <v>11</v>
      </c>
    </row>
    <row r="369" spans="1:97" x14ac:dyDescent="0.25">
      <c r="A369" s="6" t="s">
        <v>10</v>
      </c>
    </row>
    <row r="370" spans="1:97" x14ac:dyDescent="0.25">
      <c r="A370" s="6" t="s">
        <v>9</v>
      </c>
    </row>
    <row r="371" spans="1:97" x14ac:dyDescent="0.25">
      <c r="A371" s="6" t="s">
        <v>8</v>
      </c>
    </row>
    <row r="372" spans="1:97" x14ac:dyDescent="0.25">
      <c r="A372" s="6" t="s">
        <v>7</v>
      </c>
    </row>
    <row r="373" spans="1:97" x14ac:dyDescent="0.25">
      <c r="A373" s="6" t="s">
        <v>6</v>
      </c>
    </row>
    <row r="374" spans="1:97" x14ac:dyDescent="0.25">
      <c r="A374" s="6" t="s">
        <v>5</v>
      </c>
    </row>
    <row r="375" spans="1:97" x14ac:dyDescent="0.25">
      <c r="A375" s="6" t="s">
        <v>4</v>
      </c>
      <c r="CS375" s="1" t="s">
        <v>3</v>
      </c>
    </row>
    <row r="376" spans="1:97" x14ac:dyDescent="0.25">
      <c r="A376" s="6" t="s">
        <v>2</v>
      </c>
      <c r="B376" s="1" t="s">
        <v>1</v>
      </c>
      <c r="AQ376" s="2">
        <f>'[1]Ostatní naklady na přípravu'!T62</f>
        <v>12.47825812</v>
      </c>
      <c r="AR376" s="2">
        <f>0.07%*CQ271</f>
        <v>0</v>
      </c>
      <c r="AS376" s="2">
        <f>0.2%*CQ271</f>
        <v>0</v>
      </c>
      <c r="AT376" s="2">
        <f>0.02%*CQ271</f>
        <v>0</v>
      </c>
      <c r="AU376" s="2">
        <f>15990291.11/1000000</f>
        <v>15.990291109999999</v>
      </c>
      <c r="AV376" s="2">
        <f>111114787.58/1000000</f>
        <v>111.11478758</v>
      </c>
      <c r="AX376" s="2">
        <f>825000/1000000</f>
        <v>0.82499999999999996</v>
      </c>
      <c r="BF376" s="2">
        <f>15977942.64/1000000</f>
        <v>15.97794264</v>
      </c>
      <c r="CQ376" s="2">
        <f>7495303.68/1000000</f>
        <v>7.4953036800000001</v>
      </c>
      <c r="CS376" s="2">
        <f>SUM(AQ376:CQ376)</f>
        <v>163.88158313</v>
      </c>
    </row>
    <row r="377" spans="1:97" x14ac:dyDescent="0.25">
      <c r="A377" s="6" t="s">
        <v>0</v>
      </c>
    </row>
    <row r="381" spans="1:97" x14ac:dyDescent="0.25">
      <c r="AV381" s="2"/>
    </row>
    <row r="2642" spans="6:91" x14ac:dyDescent="0.25">
      <c r="F2642" s="4"/>
      <c r="G2642" s="4"/>
      <c r="I2642" s="5"/>
      <c r="J2642" s="5"/>
      <c r="K2642" s="5"/>
      <c r="L2642" s="5"/>
      <c r="M2642" s="5"/>
      <c r="N2642" s="5"/>
      <c r="O2642" s="4"/>
      <c r="P2642" s="4"/>
      <c r="Q2642" s="4"/>
      <c r="R2642" s="4"/>
      <c r="S2642" s="4"/>
      <c r="T2642" s="4"/>
      <c r="U2642" s="4"/>
      <c r="V2642" s="4"/>
      <c r="W2642" s="4"/>
      <c r="Z2642" s="5"/>
      <c r="AA2642" s="5"/>
      <c r="AB2642" s="5"/>
      <c r="AC2642" s="5"/>
      <c r="AD2642" s="5"/>
      <c r="AF2642" s="4"/>
      <c r="AH2642" s="4"/>
      <c r="AI2642" s="4"/>
      <c r="AJ2642" s="4"/>
      <c r="AK2642" s="4"/>
      <c r="AL2642" s="4"/>
      <c r="AM2642" s="4"/>
      <c r="AN2642" s="4"/>
      <c r="AQ2642" s="4"/>
      <c r="AR2642" s="4"/>
      <c r="AS2642" s="4"/>
      <c r="AT2642" s="4"/>
      <c r="AU2642" s="4"/>
      <c r="AW2642" s="4"/>
      <c r="AY2642" s="4"/>
      <c r="AZ2642" s="4"/>
      <c r="BA2642" s="4"/>
      <c r="BB2642" s="4"/>
      <c r="BC2642" s="4"/>
      <c r="BD2642" s="4"/>
      <c r="BE2642" s="4"/>
      <c r="BH2642" s="4"/>
      <c r="BI2642" s="4"/>
      <c r="BJ2642" s="4"/>
      <c r="BK2642" s="4"/>
      <c r="BL2642" s="4"/>
      <c r="BN2642" s="4"/>
      <c r="BP2642" s="4"/>
      <c r="BQ2642" s="4"/>
      <c r="BR2642" s="4"/>
      <c r="BS2642" s="4"/>
      <c r="BT2642" s="4"/>
      <c r="BU2642" s="4"/>
      <c r="BV2642" s="4"/>
      <c r="BY2642" s="4"/>
      <c r="BZ2642" s="4"/>
      <c r="CA2642" s="4"/>
      <c r="CB2642" s="4"/>
      <c r="CC2642" s="4"/>
      <c r="CE2642" s="4"/>
      <c r="CG2642" s="4"/>
      <c r="CH2642" s="4"/>
      <c r="CI2642" s="4"/>
      <c r="CJ2642" s="4"/>
      <c r="CK2642" s="4"/>
      <c r="CL2642" s="4"/>
      <c r="CM2642" s="4"/>
    </row>
    <row r="2643" spans="6:91" x14ac:dyDescent="0.25">
      <c r="F2643" s="4"/>
      <c r="G2643" s="4"/>
      <c r="I2643" s="5"/>
      <c r="J2643" s="5"/>
      <c r="K2643" s="5"/>
      <c r="L2643" s="5"/>
      <c r="M2643" s="5"/>
      <c r="N2643" s="5"/>
      <c r="O2643" s="4"/>
      <c r="P2643" s="4"/>
      <c r="Q2643" s="4"/>
      <c r="R2643" s="4"/>
      <c r="S2643" s="4"/>
      <c r="T2643" s="4"/>
      <c r="U2643" s="4"/>
      <c r="V2643" s="4"/>
      <c r="W2643" s="4"/>
      <c r="Z2643" s="5"/>
      <c r="AA2643" s="5"/>
      <c r="AB2643" s="5"/>
      <c r="AC2643" s="5"/>
      <c r="AD2643" s="5"/>
      <c r="AF2643" s="4"/>
      <c r="AH2643" s="4"/>
      <c r="AI2643" s="4"/>
      <c r="AJ2643" s="4"/>
      <c r="AK2643" s="4"/>
      <c r="AL2643" s="4"/>
      <c r="AM2643" s="4"/>
      <c r="AN2643" s="4"/>
      <c r="AQ2643" s="4"/>
      <c r="AR2643" s="4"/>
      <c r="AS2643" s="4"/>
      <c r="AT2643" s="4"/>
      <c r="AU2643" s="4"/>
      <c r="AW2643" s="4"/>
      <c r="AY2643" s="4"/>
      <c r="AZ2643" s="4"/>
      <c r="BA2643" s="4"/>
      <c r="BB2643" s="4"/>
      <c r="BC2643" s="4"/>
      <c r="BD2643" s="4"/>
      <c r="BE2643" s="4"/>
      <c r="BH2643" s="4"/>
      <c r="BI2643" s="4"/>
      <c r="BJ2643" s="4"/>
      <c r="BK2643" s="4"/>
      <c r="BL2643" s="4"/>
      <c r="BN2643" s="4"/>
      <c r="BP2643" s="4"/>
      <c r="BQ2643" s="4"/>
      <c r="BR2643" s="4"/>
      <c r="BS2643" s="4"/>
      <c r="BT2643" s="4"/>
      <c r="BU2643" s="4"/>
      <c r="BV2643" s="4"/>
      <c r="BY2643" s="4"/>
      <c r="BZ2643" s="4"/>
      <c r="CA2643" s="4"/>
      <c r="CB2643" s="4"/>
      <c r="CC2643" s="4"/>
      <c r="CE2643" s="4"/>
      <c r="CG2643" s="4"/>
      <c r="CH2643" s="4"/>
      <c r="CI2643" s="4"/>
      <c r="CJ2643" s="4"/>
      <c r="CK2643" s="4"/>
      <c r="CL2643" s="4"/>
      <c r="CM2643" s="4"/>
    </row>
    <row r="2644" spans="6:91" x14ac:dyDescent="0.25">
      <c r="F2644" s="4"/>
      <c r="G2644" s="4"/>
      <c r="I2644" s="5"/>
      <c r="J2644" s="5"/>
      <c r="K2644" s="5"/>
      <c r="L2644" s="5"/>
      <c r="M2644" s="5"/>
      <c r="N2644" s="5"/>
      <c r="O2644" s="4"/>
      <c r="P2644" s="4"/>
      <c r="Q2644" s="4"/>
      <c r="R2644" s="4"/>
      <c r="S2644" s="4"/>
      <c r="T2644" s="4"/>
      <c r="U2644" s="4"/>
      <c r="V2644" s="4"/>
      <c r="W2644" s="4"/>
      <c r="Z2644" s="5"/>
      <c r="AA2644" s="5"/>
      <c r="AB2644" s="5"/>
      <c r="AC2644" s="5"/>
      <c r="AD2644" s="5"/>
      <c r="AF2644" s="4"/>
      <c r="AH2644" s="4"/>
      <c r="AI2644" s="4"/>
      <c r="AJ2644" s="4"/>
      <c r="AK2644" s="4"/>
      <c r="AL2644" s="4"/>
      <c r="AM2644" s="4"/>
      <c r="AN2644" s="4"/>
      <c r="AQ2644" s="4"/>
      <c r="AR2644" s="4"/>
      <c r="AS2644" s="4"/>
      <c r="AT2644" s="4"/>
      <c r="AU2644" s="4"/>
      <c r="AW2644" s="4"/>
      <c r="AY2644" s="4"/>
      <c r="AZ2644" s="4"/>
      <c r="BA2644" s="4"/>
      <c r="BB2644" s="4"/>
      <c r="BC2644" s="4"/>
      <c r="BD2644" s="4"/>
      <c r="BE2644" s="4"/>
      <c r="BH2644" s="4"/>
      <c r="BI2644" s="4"/>
      <c r="BJ2644" s="4"/>
      <c r="BK2644" s="4"/>
      <c r="BL2644" s="4"/>
      <c r="BN2644" s="4"/>
      <c r="BP2644" s="4"/>
      <c r="BQ2644" s="4"/>
      <c r="BR2644" s="4"/>
      <c r="BS2644" s="4"/>
      <c r="BT2644" s="4"/>
      <c r="BU2644" s="4"/>
      <c r="BV2644" s="4"/>
      <c r="BY2644" s="4"/>
      <c r="BZ2644" s="4"/>
      <c r="CA2644" s="4"/>
      <c r="CB2644" s="4"/>
      <c r="CC2644" s="4"/>
      <c r="CE2644" s="4"/>
      <c r="CG2644" s="4"/>
      <c r="CH2644" s="4"/>
      <c r="CI2644" s="4"/>
      <c r="CJ2644" s="4"/>
      <c r="CK2644" s="4"/>
      <c r="CL2644" s="4"/>
      <c r="CM2644" s="4"/>
    </row>
    <row r="2645" spans="6:91" x14ac:dyDescent="0.25">
      <c r="F2645" s="4"/>
      <c r="G2645" s="4"/>
      <c r="I2645" s="5"/>
      <c r="J2645" s="5"/>
      <c r="K2645" s="5"/>
      <c r="L2645" s="5"/>
      <c r="M2645" s="5"/>
      <c r="N2645" s="5"/>
      <c r="O2645" s="4"/>
      <c r="P2645" s="4"/>
      <c r="Q2645" s="4"/>
      <c r="R2645" s="4"/>
      <c r="S2645" s="4"/>
      <c r="T2645" s="4"/>
      <c r="U2645" s="4"/>
      <c r="V2645" s="4"/>
      <c r="W2645" s="4"/>
      <c r="Z2645" s="5"/>
      <c r="AA2645" s="5"/>
      <c r="AB2645" s="5"/>
      <c r="AC2645" s="5"/>
      <c r="AD2645" s="5"/>
      <c r="AF2645" s="4"/>
      <c r="AH2645" s="4"/>
      <c r="AI2645" s="4"/>
      <c r="AJ2645" s="4"/>
      <c r="AK2645" s="4"/>
      <c r="AL2645" s="4"/>
      <c r="AM2645" s="4"/>
      <c r="AN2645" s="4"/>
      <c r="AQ2645" s="4"/>
      <c r="AR2645" s="4"/>
      <c r="AS2645" s="4"/>
      <c r="AT2645" s="4"/>
      <c r="AU2645" s="4"/>
      <c r="AW2645" s="4"/>
      <c r="AY2645" s="4"/>
      <c r="AZ2645" s="4"/>
      <c r="BA2645" s="4"/>
      <c r="BB2645" s="4"/>
      <c r="BC2645" s="4"/>
      <c r="BD2645" s="4"/>
      <c r="BE2645" s="4"/>
      <c r="BH2645" s="4"/>
      <c r="BI2645" s="4"/>
      <c r="BJ2645" s="4"/>
      <c r="BK2645" s="4"/>
      <c r="BL2645" s="4"/>
      <c r="BN2645" s="4"/>
      <c r="BP2645" s="4"/>
      <c r="BQ2645" s="4"/>
      <c r="BR2645" s="4"/>
      <c r="BS2645" s="4"/>
      <c r="BT2645" s="4"/>
      <c r="BU2645" s="4"/>
      <c r="BV2645" s="4"/>
      <c r="BY2645" s="4"/>
      <c r="BZ2645" s="4"/>
      <c r="CA2645" s="4"/>
      <c r="CB2645" s="4"/>
      <c r="CC2645" s="4"/>
      <c r="CE2645" s="4"/>
      <c r="CG2645" s="4"/>
      <c r="CH2645" s="4"/>
      <c r="CI2645" s="4"/>
      <c r="CJ2645" s="4"/>
      <c r="CK2645" s="4"/>
      <c r="CL2645" s="4"/>
      <c r="CM2645" s="4"/>
    </row>
    <row r="2646" spans="6:91" x14ac:dyDescent="0.25">
      <c r="F2646" s="4"/>
      <c r="G2646" s="4"/>
      <c r="I2646" s="5"/>
      <c r="J2646" s="5"/>
      <c r="K2646" s="5"/>
      <c r="L2646" s="5"/>
      <c r="M2646" s="5"/>
      <c r="N2646" s="5"/>
      <c r="O2646" s="4"/>
      <c r="P2646" s="4"/>
      <c r="Q2646" s="4"/>
      <c r="R2646" s="4"/>
      <c r="S2646" s="4"/>
      <c r="T2646" s="4"/>
      <c r="U2646" s="4"/>
      <c r="V2646" s="4"/>
      <c r="W2646" s="4"/>
      <c r="Z2646" s="5"/>
      <c r="AA2646" s="5"/>
      <c r="AB2646" s="5"/>
      <c r="AC2646" s="5"/>
      <c r="AD2646" s="5"/>
      <c r="AF2646" s="4"/>
      <c r="AH2646" s="4"/>
      <c r="AI2646" s="4"/>
      <c r="AJ2646" s="4"/>
      <c r="AK2646" s="4"/>
      <c r="AL2646" s="4"/>
      <c r="AM2646" s="4"/>
      <c r="AN2646" s="4"/>
      <c r="AQ2646" s="4"/>
      <c r="AR2646" s="4"/>
      <c r="AS2646" s="4"/>
      <c r="AT2646" s="4"/>
      <c r="AU2646" s="4"/>
      <c r="AW2646" s="4"/>
      <c r="AY2646" s="4"/>
      <c r="AZ2646" s="4"/>
      <c r="BA2646" s="4"/>
      <c r="BB2646" s="4"/>
      <c r="BC2646" s="4"/>
      <c r="BD2646" s="4"/>
      <c r="BE2646" s="4"/>
      <c r="BH2646" s="4"/>
      <c r="BI2646" s="4"/>
      <c r="BJ2646" s="4"/>
      <c r="BK2646" s="4"/>
      <c r="BL2646" s="4"/>
      <c r="BN2646" s="4"/>
      <c r="BP2646" s="4"/>
      <c r="BQ2646" s="4"/>
      <c r="BR2646" s="4"/>
      <c r="BS2646" s="4"/>
      <c r="BT2646" s="4"/>
      <c r="BU2646" s="4"/>
      <c r="BV2646" s="4"/>
      <c r="BY2646" s="4"/>
      <c r="BZ2646" s="4"/>
      <c r="CA2646" s="4"/>
      <c r="CB2646" s="4"/>
      <c r="CC2646" s="4"/>
      <c r="CE2646" s="4"/>
      <c r="CG2646" s="4"/>
      <c r="CH2646" s="4"/>
      <c r="CI2646" s="4"/>
      <c r="CJ2646" s="4"/>
      <c r="CK2646" s="4"/>
      <c r="CL2646" s="4"/>
      <c r="CM2646" s="4"/>
    </row>
    <row r="2647" spans="6:91" x14ac:dyDescent="0.25">
      <c r="F2647" s="4"/>
      <c r="G2647" s="4"/>
      <c r="I2647" s="5"/>
      <c r="J2647" s="5"/>
      <c r="K2647" s="5"/>
      <c r="L2647" s="5"/>
      <c r="M2647" s="5"/>
      <c r="N2647" s="5"/>
      <c r="O2647" s="4"/>
      <c r="P2647" s="4"/>
      <c r="Q2647" s="4"/>
      <c r="R2647" s="4"/>
      <c r="S2647" s="4"/>
      <c r="T2647" s="4"/>
      <c r="U2647" s="4"/>
      <c r="V2647" s="4"/>
      <c r="W2647" s="4"/>
      <c r="Z2647" s="5"/>
      <c r="AA2647" s="5"/>
      <c r="AB2647" s="5"/>
      <c r="AC2647" s="5"/>
      <c r="AD2647" s="5"/>
      <c r="AF2647" s="4"/>
      <c r="AH2647" s="4"/>
      <c r="AI2647" s="4"/>
      <c r="AJ2647" s="4"/>
      <c r="AK2647" s="4"/>
      <c r="AL2647" s="4"/>
      <c r="AM2647" s="4"/>
      <c r="AN2647" s="4"/>
      <c r="AQ2647" s="4"/>
      <c r="AR2647" s="4"/>
      <c r="AS2647" s="4"/>
      <c r="AT2647" s="4"/>
      <c r="AU2647" s="4"/>
      <c r="AW2647" s="4"/>
      <c r="AY2647" s="4"/>
      <c r="AZ2647" s="4"/>
      <c r="BA2647" s="4"/>
      <c r="BB2647" s="4"/>
      <c r="BC2647" s="4"/>
      <c r="BD2647" s="4"/>
      <c r="BE2647" s="4"/>
      <c r="BH2647" s="4"/>
      <c r="BI2647" s="4"/>
      <c r="BJ2647" s="4"/>
      <c r="BK2647" s="4"/>
      <c r="BL2647" s="4"/>
      <c r="BN2647" s="4"/>
      <c r="BP2647" s="4"/>
      <c r="BQ2647" s="4"/>
      <c r="BR2647" s="4"/>
      <c r="BS2647" s="4"/>
      <c r="BT2647" s="4"/>
      <c r="BU2647" s="4"/>
      <c r="BV2647" s="4"/>
      <c r="BY2647" s="4"/>
      <c r="BZ2647" s="4"/>
      <c r="CA2647" s="4"/>
      <c r="CB2647" s="4"/>
      <c r="CC2647" s="4"/>
      <c r="CE2647" s="4"/>
      <c r="CG2647" s="4"/>
      <c r="CH2647" s="4"/>
      <c r="CI2647" s="4"/>
      <c r="CJ2647" s="4"/>
      <c r="CK2647" s="4"/>
      <c r="CL2647" s="4"/>
      <c r="CM2647" s="4"/>
    </row>
    <row r="2648" spans="6:91" x14ac:dyDescent="0.25">
      <c r="F2648" s="4"/>
      <c r="G2648" s="4"/>
      <c r="I2648" s="5"/>
      <c r="J2648" s="5"/>
      <c r="K2648" s="5"/>
      <c r="L2648" s="5"/>
      <c r="M2648" s="5"/>
      <c r="N2648" s="5"/>
      <c r="O2648" s="4"/>
      <c r="P2648" s="4"/>
      <c r="Q2648" s="4"/>
      <c r="R2648" s="4"/>
      <c r="S2648" s="4"/>
      <c r="T2648" s="4"/>
      <c r="U2648" s="4"/>
      <c r="V2648" s="4"/>
      <c r="W2648" s="4"/>
      <c r="Z2648" s="5"/>
      <c r="AA2648" s="5"/>
      <c r="AB2648" s="5"/>
      <c r="AC2648" s="5"/>
      <c r="AD2648" s="5"/>
      <c r="AF2648" s="4"/>
      <c r="AH2648" s="4"/>
      <c r="AI2648" s="4"/>
      <c r="AJ2648" s="4"/>
      <c r="AK2648" s="4"/>
      <c r="AL2648" s="4"/>
      <c r="AM2648" s="4"/>
      <c r="AN2648" s="4"/>
      <c r="AQ2648" s="4"/>
      <c r="AR2648" s="4"/>
      <c r="AS2648" s="4"/>
      <c r="AT2648" s="4"/>
      <c r="AU2648" s="4"/>
      <c r="AW2648" s="4"/>
      <c r="AY2648" s="4"/>
      <c r="AZ2648" s="4"/>
      <c r="BA2648" s="4"/>
      <c r="BB2648" s="4"/>
      <c r="BC2648" s="4"/>
      <c r="BD2648" s="4"/>
      <c r="BE2648" s="4"/>
      <c r="BH2648" s="4"/>
      <c r="BI2648" s="4"/>
      <c r="BJ2648" s="4"/>
      <c r="BK2648" s="4"/>
      <c r="BL2648" s="4"/>
      <c r="BN2648" s="4"/>
      <c r="BP2648" s="4"/>
      <c r="BQ2648" s="4"/>
      <c r="BR2648" s="4"/>
      <c r="BS2648" s="4"/>
      <c r="BT2648" s="4"/>
      <c r="BU2648" s="4"/>
      <c r="BV2648" s="4"/>
      <c r="BY2648" s="4"/>
      <c r="BZ2648" s="4"/>
      <c r="CA2648" s="4"/>
      <c r="CB2648" s="4"/>
      <c r="CC2648" s="4"/>
      <c r="CE2648" s="4"/>
      <c r="CG2648" s="4"/>
      <c r="CH2648" s="4"/>
      <c r="CI2648" s="4"/>
      <c r="CJ2648" s="4"/>
      <c r="CK2648" s="4"/>
      <c r="CL2648" s="4"/>
      <c r="CM2648" s="4"/>
    </row>
    <row r="2649" spans="6:91" x14ac:dyDescent="0.25">
      <c r="F2649" s="4"/>
      <c r="G2649" s="4"/>
      <c r="I2649" s="5"/>
      <c r="J2649" s="5"/>
      <c r="K2649" s="5"/>
      <c r="L2649" s="5"/>
      <c r="M2649" s="5"/>
      <c r="N2649" s="5"/>
      <c r="O2649" s="4"/>
      <c r="P2649" s="4"/>
      <c r="Q2649" s="4"/>
      <c r="R2649" s="4"/>
      <c r="S2649" s="4"/>
      <c r="T2649" s="4"/>
      <c r="U2649" s="4"/>
      <c r="V2649" s="4"/>
      <c r="W2649" s="4"/>
      <c r="Z2649" s="5"/>
      <c r="AA2649" s="5"/>
      <c r="AB2649" s="5"/>
      <c r="AC2649" s="5"/>
      <c r="AD2649" s="5"/>
      <c r="AF2649" s="4"/>
      <c r="AH2649" s="4"/>
      <c r="AI2649" s="4"/>
      <c r="AJ2649" s="4"/>
      <c r="AK2649" s="4"/>
      <c r="AL2649" s="4"/>
      <c r="AM2649" s="4"/>
      <c r="AN2649" s="4"/>
      <c r="AQ2649" s="4"/>
      <c r="AR2649" s="4"/>
      <c r="AS2649" s="4"/>
      <c r="AT2649" s="4"/>
      <c r="AU2649" s="4"/>
      <c r="AW2649" s="4"/>
      <c r="AY2649" s="4"/>
      <c r="AZ2649" s="4"/>
      <c r="BA2649" s="4"/>
      <c r="BB2649" s="4"/>
      <c r="BC2649" s="4"/>
      <c r="BD2649" s="4"/>
      <c r="BE2649" s="4"/>
      <c r="BH2649" s="4"/>
      <c r="BI2649" s="4"/>
      <c r="BJ2649" s="4"/>
      <c r="BK2649" s="4"/>
      <c r="BL2649" s="4"/>
      <c r="BN2649" s="4"/>
      <c r="BP2649" s="4"/>
      <c r="BQ2649" s="4"/>
      <c r="BR2649" s="4"/>
      <c r="BS2649" s="4"/>
      <c r="BT2649" s="4"/>
      <c r="BU2649" s="4"/>
      <c r="BV2649" s="4"/>
      <c r="BY2649" s="4"/>
      <c r="BZ2649" s="4"/>
      <c r="CA2649" s="4"/>
      <c r="CB2649" s="4"/>
      <c r="CC2649" s="4"/>
      <c r="CE2649" s="4"/>
      <c r="CG2649" s="4"/>
      <c r="CH2649" s="4"/>
      <c r="CI2649" s="4"/>
      <c r="CJ2649" s="4"/>
      <c r="CK2649" s="4"/>
      <c r="CL2649" s="4"/>
      <c r="CM2649" s="4"/>
    </row>
    <row r="2650" spans="6:91" x14ac:dyDescent="0.25">
      <c r="F2650" s="4"/>
      <c r="G2650" s="4"/>
      <c r="I2650" s="5"/>
      <c r="J2650" s="5"/>
      <c r="K2650" s="5"/>
      <c r="L2650" s="5"/>
      <c r="M2650" s="5"/>
      <c r="N2650" s="5"/>
      <c r="O2650" s="4"/>
      <c r="P2650" s="4"/>
      <c r="Q2650" s="4"/>
      <c r="R2650" s="4"/>
      <c r="S2650" s="4"/>
      <c r="T2650" s="4"/>
      <c r="U2650" s="4"/>
      <c r="V2650" s="4"/>
      <c r="W2650" s="4"/>
      <c r="Z2650" s="5"/>
      <c r="AA2650" s="5"/>
      <c r="AB2650" s="5"/>
      <c r="AC2650" s="5"/>
      <c r="AD2650" s="5"/>
      <c r="AF2650" s="4"/>
      <c r="AH2650" s="4"/>
      <c r="AI2650" s="4"/>
      <c r="AJ2650" s="4"/>
      <c r="AK2650" s="4"/>
      <c r="AL2650" s="4"/>
      <c r="AM2650" s="4"/>
      <c r="AN2650" s="4"/>
      <c r="AQ2650" s="4"/>
      <c r="AR2650" s="4"/>
      <c r="AS2650" s="4"/>
      <c r="AT2650" s="4"/>
      <c r="AU2650" s="4"/>
      <c r="AW2650" s="4"/>
      <c r="AY2650" s="4"/>
      <c r="AZ2650" s="4"/>
      <c r="BA2650" s="4"/>
      <c r="BB2650" s="4"/>
      <c r="BC2650" s="4"/>
      <c r="BD2650" s="4"/>
      <c r="BE2650" s="4"/>
      <c r="BH2650" s="4"/>
      <c r="BI2650" s="4"/>
      <c r="BJ2650" s="4"/>
      <c r="BK2650" s="4"/>
      <c r="BL2650" s="4"/>
      <c r="BN2650" s="4"/>
      <c r="BP2650" s="4"/>
      <c r="BQ2650" s="4"/>
      <c r="BR2650" s="4"/>
      <c r="BS2650" s="4"/>
      <c r="BT2650" s="4"/>
      <c r="BU2650" s="4"/>
      <c r="BV2650" s="4"/>
      <c r="BY2650" s="4"/>
      <c r="BZ2650" s="4"/>
      <c r="CA2650" s="4"/>
      <c r="CB2650" s="4"/>
      <c r="CC2650" s="4"/>
      <c r="CE2650" s="4"/>
      <c r="CG2650" s="4"/>
      <c r="CH2650" s="4"/>
      <c r="CI2650" s="4"/>
      <c r="CJ2650" s="4"/>
      <c r="CK2650" s="4"/>
      <c r="CL2650" s="4"/>
      <c r="CM2650" s="4"/>
    </row>
    <row r="2651" spans="6:91" x14ac:dyDescent="0.25">
      <c r="F2651" s="4"/>
      <c r="G2651" s="4"/>
      <c r="I2651" s="5"/>
      <c r="J2651" s="5"/>
      <c r="K2651" s="5"/>
      <c r="L2651" s="5"/>
      <c r="M2651" s="5"/>
      <c r="N2651" s="5"/>
      <c r="O2651" s="4"/>
      <c r="P2651" s="4"/>
      <c r="Q2651" s="4"/>
      <c r="R2651" s="4"/>
      <c r="S2651" s="4"/>
      <c r="T2651" s="4"/>
      <c r="U2651" s="4"/>
      <c r="V2651" s="4"/>
      <c r="W2651" s="4"/>
      <c r="Z2651" s="5"/>
      <c r="AA2651" s="5"/>
      <c r="AB2651" s="5"/>
      <c r="AC2651" s="5"/>
      <c r="AD2651" s="5"/>
      <c r="AF2651" s="4"/>
      <c r="AH2651" s="4"/>
      <c r="AI2651" s="4"/>
      <c r="AJ2651" s="4"/>
      <c r="AK2651" s="4"/>
      <c r="AL2651" s="4"/>
      <c r="AM2651" s="4"/>
      <c r="AN2651" s="4"/>
      <c r="AQ2651" s="4"/>
      <c r="AR2651" s="4"/>
      <c r="AS2651" s="4"/>
      <c r="AT2651" s="4"/>
      <c r="AU2651" s="4"/>
      <c r="AW2651" s="4"/>
      <c r="AY2651" s="4"/>
      <c r="AZ2651" s="4"/>
      <c r="BA2651" s="4"/>
      <c r="BB2651" s="4"/>
      <c r="BC2651" s="4"/>
      <c r="BD2651" s="4"/>
      <c r="BE2651" s="4"/>
      <c r="BH2651" s="4"/>
      <c r="BI2651" s="4"/>
      <c r="BJ2651" s="4"/>
      <c r="BK2651" s="4"/>
      <c r="BL2651" s="4"/>
      <c r="BN2651" s="4"/>
      <c r="BP2651" s="4"/>
      <c r="BQ2651" s="4"/>
      <c r="BR2651" s="4"/>
      <c r="BS2651" s="4"/>
      <c r="BT2651" s="4"/>
      <c r="BU2651" s="4"/>
      <c r="BV2651" s="4"/>
      <c r="BY2651" s="4"/>
      <c r="BZ2651" s="4"/>
      <c r="CA2651" s="4"/>
      <c r="CB2651" s="4"/>
      <c r="CC2651" s="4"/>
      <c r="CE2651" s="4"/>
      <c r="CG2651" s="4"/>
      <c r="CH2651" s="4"/>
      <c r="CI2651" s="4"/>
      <c r="CJ2651" s="4"/>
      <c r="CK2651" s="4"/>
      <c r="CL2651" s="4"/>
      <c r="CM2651" s="4"/>
    </row>
    <row r="2652" spans="6:91" x14ac:dyDescent="0.25">
      <c r="F2652" s="4"/>
      <c r="G2652" s="4"/>
      <c r="I2652" s="5"/>
      <c r="J2652" s="5"/>
      <c r="K2652" s="5"/>
      <c r="L2652" s="5"/>
      <c r="M2652" s="5"/>
      <c r="N2652" s="5"/>
      <c r="O2652" s="4"/>
      <c r="P2652" s="4"/>
      <c r="Q2652" s="4"/>
      <c r="R2652" s="4"/>
      <c r="S2652" s="4"/>
      <c r="T2652" s="4"/>
      <c r="U2652" s="4"/>
      <c r="V2652" s="4"/>
      <c r="W2652" s="4"/>
      <c r="Z2652" s="5"/>
      <c r="AA2652" s="5"/>
      <c r="AB2652" s="5"/>
      <c r="AC2652" s="5"/>
      <c r="AD2652" s="5"/>
      <c r="AF2652" s="4"/>
      <c r="AH2652" s="4"/>
      <c r="AI2652" s="4"/>
      <c r="AJ2652" s="4"/>
      <c r="AK2652" s="4"/>
      <c r="AL2652" s="4"/>
      <c r="AM2652" s="4"/>
      <c r="AN2652" s="4"/>
      <c r="AQ2652" s="4"/>
      <c r="AR2652" s="4"/>
      <c r="AS2652" s="4"/>
      <c r="AT2652" s="4"/>
      <c r="AU2652" s="4"/>
      <c r="AW2652" s="4"/>
      <c r="AY2652" s="4"/>
      <c r="AZ2652" s="4"/>
      <c r="BA2652" s="4"/>
      <c r="BB2652" s="4"/>
      <c r="BC2652" s="4"/>
      <c r="BD2652" s="4"/>
      <c r="BE2652" s="4"/>
      <c r="BH2652" s="4"/>
      <c r="BI2652" s="4"/>
      <c r="BJ2652" s="4"/>
      <c r="BK2652" s="4"/>
      <c r="BL2652" s="4"/>
      <c r="BN2652" s="4"/>
      <c r="BP2652" s="4"/>
      <c r="BQ2652" s="4"/>
      <c r="BR2652" s="4"/>
      <c r="BS2652" s="4"/>
      <c r="BT2652" s="4"/>
      <c r="BU2652" s="4"/>
      <c r="BV2652" s="4"/>
      <c r="BY2652" s="4"/>
      <c r="BZ2652" s="4"/>
      <c r="CA2652" s="4"/>
      <c r="CB2652" s="4"/>
      <c r="CC2652" s="4"/>
      <c r="CE2652" s="4"/>
      <c r="CG2652" s="4"/>
      <c r="CH2652" s="4"/>
      <c r="CI2652" s="4"/>
      <c r="CJ2652" s="4"/>
      <c r="CK2652" s="4"/>
      <c r="CL2652" s="4"/>
      <c r="CM2652" s="4"/>
    </row>
    <row r="2653" spans="6:91" x14ac:dyDescent="0.25">
      <c r="F2653" s="4"/>
      <c r="G2653" s="4"/>
      <c r="I2653" s="5"/>
      <c r="J2653" s="5"/>
      <c r="K2653" s="5"/>
      <c r="L2653" s="5"/>
      <c r="M2653" s="5"/>
      <c r="N2653" s="5"/>
      <c r="O2653" s="4"/>
      <c r="P2653" s="4"/>
      <c r="Q2653" s="4"/>
      <c r="R2653" s="4"/>
      <c r="S2653" s="4"/>
      <c r="T2653" s="4"/>
      <c r="U2653" s="4"/>
      <c r="V2653" s="4"/>
      <c r="W2653" s="4"/>
      <c r="Z2653" s="5"/>
      <c r="AA2653" s="5"/>
      <c r="AB2653" s="5"/>
      <c r="AC2653" s="5"/>
      <c r="AD2653" s="5"/>
      <c r="AF2653" s="4"/>
      <c r="AH2653" s="4"/>
      <c r="AI2653" s="4"/>
      <c r="AJ2653" s="4"/>
      <c r="AK2653" s="4"/>
      <c r="AL2653" s="4"/>
      <c r="AM2653" s="4"/>
      <c r="AN2653" s="4"/>
      <c r="AQ2653" s="4"/>
      <c r="AR2653" s="4"/>
      <c r="AS2653" s="4"/>
      <c r="AT2653" s="4"/>
      <c r="AU2653" s="4"/>
      <c r="AW2653" s="4"/>
      <c r="AY2653" s="4"/>
      <c r="AZ2653" s="4"/>
      <c r="BA2653" s="4"/>
      <c r="BB2653" s="4"/>
      <c r="BC2653" s="4"/>
      <c r="BD2653" s="4"/>
      <c r="BE2653" s="4"/>
      <c r="BH2653" s="4"/>
      <c r="BI2653" s="4"/>
      <c r="BJ2653" s="4"/>
      <c r="BK2653" s="4"/>
      <c r="BL2653" s="4"/>
      <c r="BN2653" s="4"/>
      <c r="BP2653" s="4"/>
      <c r="BQ2653" s="4"/>
      <c r="BR2653" s="4"/>
      <c r="BS2653" s="4"/>
      <c r="BT2653" s="4"/>
      <c r="BU2653" s="4"/>
      <c r="BV2653" s="4"/>
      <c r="BY2653" s="4"/>
      <c r="BZ2653" s="4"/>
      <c r="CA2653" s="4"/>
      <c r="CB2653" s="4"/>
      <c r="CC2653" s="4"/>
      <c r="CE2653" s="4"/>
      <c r="CG2653" s="4"/>
      <c r="CH2653" s="4"/>
      <c r="CI2653" s="4"/>
      <c r="CJ2653" s="4"/>
      <c r="CK2653" s="4"/>
      <c r="CL2653" s="4"/>
      <c r="CM2653" s="4"/>
    </row>
    <row r="2654" spans="6:91" x14ac:dyDescent="0.25">
      <c r="F2654" s="4"/>
      <c r="G2654" s="4"/>
      <c r="I2654" s="5"/>
      <c r="J2654" s="5"/>
      <c r="K2654" s="5"/>
      <c r="L2654" s="5"/>
      <c r="M2654" s="5"/>
      <c r="N2654" s="5"/>
      <c r="O2654" s="4"/>
      <c r="P2654" s="4"/>
      <c r="Q2654" s="4"/>
      <c r="R2654" s="4"/>
      <c r="S2654" s="4"/>
      <c r="T2654" s="4"/>
      <c r="U2654" s="4"/>
      <c r="V2654" s="4"/>
      <c r="W2654" s="4"/>
      <c r="Z2654" s="5"/>
      <c r="AA2654" s="5"/>
      <c r="AB2654" s="5"/>
      <c r="AC2654" s="5"/>
      <c r="AD2654" s="5"/>
      <c r="AF2654" s="4"/>
      <c r="AH2654" s="4"/>
      <c r="AI2654" s="4"/>
      <c r="AJ2654" s="4"/>
      <c r="AK2654" s="4"/>
      <c r="AL2654" s="4"/>
      <c r="AM2654" s="4"/>
      <c r="AN2654" s="4"/>
      <c r="AQ2654" s="4"/>
      <c r="AR2654" s="4"/>
      <c r="AS2654" s="4"/>
      <c r="AT2654" s="4"/>
      <c r="AU2654" s="4"/>
      <c r="AW2654" s="4"/>
      <c r="AY2654" s="4"/>
      <c r="AZ2654" s="4"/>
      <c r="BA2654" s="4"/>
      <c r="BB2654" s="4"/>
      <c r="BC2654" s="4"/>
      <c r="BD2654" s="4"/>
      <c r="BE2654" s="4"/>
      <c r="BH2654" s="4"/>
      <c r="BI2654" s="4"/>
      <c r="BJ2654" s="4"/>
      <c r="BK2654" s="4"/>
      <c r="BL2654" s="4"/>
      <c r="BN2654" s="4"/>
      <c r="BP2654" s="4"/>
      <c r="BQ2654" s="4"/>
      <c r="BR2654" s="4"/>
      <c r="BS2654" s="4"/>
      <c r="BT2654" s="4"/>
      <c r="BU2654" s="4"/>
      <c r="BV2654" s="4"/>
      <c r="BY2654" s="4"/>
      <c r="BZ2654" s="4"/>
      <c r="CA2654" s="4"/>
      <c r="CB2654" s="4"/>
      <c r="CC2654" s="4"/>
      <c r="CE2654" s="4"/>
      <c r="CG2654" s="4"/>
      <c r="CH2654" s="4"/>
      <c r="CI2654" s="4"/>
      <c r="CJ2654" s="4"/>
      <c r="CK2654" s="4"/>
      <c r="CL2654" s="4"/>
      <c r="CM2654" s="4"/>
    </row>
    <row r="2655" spans="6:91" x14ac:dyDescent="0.25">
      <c r="F2655" s="4"/>
      <c r="G2655" s="4"/>
      <c r="I2655" s="5"/>
      <c r="J2655" s="5"/>
      <c r="K2655" s="5"/>
      <c r="L2655" s="5"/>
      <c r="M2655" s="5"/>
      <c r="N2655" s="5"/>
      <c r="O2655" s="4"/>
      <c r="P2655" s="4"/>
      <c r="Q2655" s="4"/>
      <c r="R2655" s="4"/>
      <c r="S2655" s="4"/>
      <c r="T2655" s="4"/>
      <c r="U2655" s="4"/>
      <c r="V2655" s="4"/>
      <c r="W2655" s="4"/>
      <c r="Z2655" s="5"/>
      <c r="AA2655" s="5"/>
      <c r="AB2655" s="5"/>
      <c r="AC2655" s="5"/>
      <c r="AD2655" s="5"/>
      <c r="AF2655" s="4"/>
      <c r="AH2655" s="4"/>
      <c r="AI2655" s="4"/>
      <c r="AJ2655" s="4"/>
      <c r="AK2655" s="4"/>
      <c r="AL2655" s="4"/>
      <c r="AM2655" s="4"/>
      <c r="AN2655" s="4"/>
      <c r="AQ2655" s="4"/>
      <c r="AR2655" s="4"/>
      <c r="AS2655" s="4"/>
      <c r="AT2655" s="4"/>
      <c r="AU2655" s="4"/>
      <c r="AW2655" s="4"/>
      <c r="AY2655" s="4"/>
      <c r="AZ2655" s="4"/>
      <c r="BA2655" s="4"/>
      <c r="BB2655" s="4"/>
      <c r="BC2655" s="4"/>
      <c r="BD2655" s="4"/>
      <c r="BE2655" s="4"/>
      <c r="BH2655" s="4"/>
      <c r="BI2655" s="4"/>
      <c r="BJ2655" s="4"/>
      <c r="BK2655" s="4"/>
      <c r="BL2655" s="4"/>
      <c r="BN2655" s="4"/>
      <c r="BP2655" s="4"/>
      <c r="BQ2655" s="4"/>
      <c r="BR2655" s="4"/>
      <c r="BS2655" s="4"/>
      <c r="BT2655" s="4"/>
      <c r="BU2655" s="4"/>
      <c r="BV2655" s="4"/>
      <c r="BY2655" s="4"/>
      <c r="BZ2655" s="4"/>
      <c r="CA2655" s="4"/>
      <c r="CB2655" s="4"/>
      <c r="CC2655" s="4"/>
      <c r="CE2655" s="4"/>
      <c r="CG2655" s="4"/>
      <c r="CH2655" s="4"/>
      <c r="CI2655" s="4"/>
      <c r="CJ2655" s="4"/>
      <c r="CK2655" s="4"/>
      <c r="CL2655" s="4"/>
      <c r="CM2655" s="4"/>
    </row>
    <row r="2656" spans="6:91" x14ac:dyDescent="0.25">
      <c r="F2656" s="4"/>
      <c r="G2656" s="4"/>
      <c r="I2656" s="5"/>
      <c r="J2656" s="5"/>
      <c r="K2656" s="5"/>
      <c r="L2656" s="5"/>
      <c r="M2656" s="5"/>
      <c r="N2656" s="5"/>
      <c r="O2656" s="4"/>
      <c r="P2656" s="4"/>
      <c r="Q2656" s="4"/>
      <c r="R2656" s="4"/>
      <c r="S2656" s="4"/>
      <c r="T2656" s="4"/>
      <c r="U2656" s="4"/>
      <c r="V2656" s="4"/>
      <c r="W2656" s="4"/>
      <c r="Z2656" s="5"/>
      <c r="AA2656" s="5"/>
      <c r="AB2656" s="5"/>
      <c r="AC2656" s="5"/>
      <c r="AD2656" s="5"/>
      <c r="AF2656" s="4"/>
      <c r="AH2656" s="4"/>
      <c r="AI2656" s="4"/>
      <c r="AJ2656" s="4"/>
      <c r="AK2656" s="4"/>
      <c r="AL2656" s="4"/>
      <c r="AM2656" s="4"/>
      <c r="AN2656" s="4"/>
      <c r="AQ2656" s="4"/>
      <c r="AR2656" s="4"/>
      <c r="AS2656" s="4"/>
      <c r="AT2656" s="4"/>
      <c r="AU2656" s="4"/>
      <c r="AW2656" s="4"/>
      <c r="AY2656" s="4"/>
      <c r="AZ2656" s="4"/>
      <c r="BA2656" s="4"/>
      <c r="BB2656" s="4"/>
      <c r="BC2656" s="4"/>
      <c r="BD2656" s="4"/>
      <c r="BE2656" s="4"/>
      <c r="BH2656" s="4"/>
      <c r="BI2656" s="4"/>
      <c r="BJ2656" s="4"/>
      <c r="BK2656" s="4"/>
      <c r="BL2656" s="4"/>
      <c r="BN2656" s="4"/>
      <c r="BP2656" s="4"/>
      <c r="BQ2656" s="4"/>
      <c r="BR2656" s="4"/>
      <c r="BS2656" s="4"/>
      <c r="BT2656" s="4"/>
      <c r="BU2656" s="4"/>
      <c r="BV2656" s="4"/>
      <c r="BY2656" s="4"/>
      <c r="BZ2656" s="4"/>
      <c r="CA2656" s="4"/>
      <c r="CB2656" s="4"/>
      <c r="CC2656" s="4"/>
      <c r="CE2656" s="4"/>
      <c r="CG2656" s="4"/>
      <c r="CH2656" s="4"/>
      <c r="CI2656" s="4"/>
      <c r="CJ2656" s="4"/>
      <c r="CK2656" s="4"/>
      <c r="CL2656" s="4"/>
      <c r="CM2656" s="4"/>
    </row>
    <row r="2657" spans="6:91" x14ac:dyDescent="0.25">
      <c r="F2657" s="4"/>
      <c r="G2657" s="4"/>
      <c r="I2657" s="5"/>
      <c r="J2657" s="5"/>
      <c r="K2657" s="5"/>
      <c r="L2657" s="5"/>
      <c r="M2657" s="5"/>
      <c r="N2657" s="5"/>
      <c r="O2657" s="4"/>
      <c r="P2657" s="4"/>
      <c r="Q2657" s="4"/>
      <c r="R2657" s="4"/>
      <c r="S2657" s="4"/>
      <c r="T2657" s="4"/>
      <c r="U2657" s="4"/>
      <c r="V2657" s="4"/>
      <c r="W2657" s="4"/>
      <c r="Z2657" s="5"/>
      <c r="AA2657" s="5"/>
      <c r="AB2657" s="5"/>
      <c r="AC2657" s="5"/>
      <c r="AD2657" s="5"/>
      <c r="AF2657" s="4"/>
      <c r="AH2657" s="4"/>
      <c r="AI2657" s="4"/>
      <c r="AJ2657" s="4"/>
      <c r="AK2657" s="4"/>
      <c r="AL2657" s="4"/>
      <c r="AM2657" s="4"/>
      <c r="AN2657" s="4"/>
      <c r="AQ2657" s="4"/>
      <c r="AR2657" s="4"/>
      <c r="AS2657" s="4"/>
      <c r="AT2657" s="4"/>
      <c r="AU2657" s="4"/>
      <c r="AW2657" s="4"/>
      <c r="AY2657" s="4"/>
      <c r="AZ2657" s="4"/>
      <c r="BA2657" s="4"/>
      <c r="BB2657" s="4"/>
      <c r="BC2657" s="4"/>
      <c r="BD2657" s="4"/>
      <c r="BE2657" s="4"/>
      <c r="BH2657" s="4"/>
      <c r="BI2657" s="4"/>
      <c r="BJ2657" s="4"/>
      <c r="BK2657" s="4"/>
      <c r="BL2657" s="4"/>
      <c r="BN2657" s="4"/>
      <c r="BP2657" s="4"/>
      <c r="BQ2657" s="4"/>
      <c r="BR2657" s="4"/>
      <c r="BS2657" s="4"/>
      <c r="BT2657" s="4"/>
      <c r="BU2657" s="4"/>
      <c r="BV2657" s="4"/>
      <c r="BY2657" s="4"/>
      <c r="BZ2657" s="4"/>
      <c r="CA2657" s="4"/>
      <c r="CB2657" s="4"/>
      <c r="CC2657" s="4"/>
      <c r="CE2657" s="4"/>
      <c r="CG2657" s="4"/>
      <c r="CH2657" s="4"/>
      <c r="CI2657" s="4"/>
      <c r="CJ2657" s="4"/>
      <c r="CK2657" s="4"/>
      <c r="CL2657" s="4"/>
      <c r="CM2657" s="4"/>
    </row>
    <row r="2658" spans="6:91" x14ac:dyDescent="0.25">
      <c r="F2658" s="4"/>
      <c r="G2658" s="4"/>
      <c r="I2658" s="5"/>
      <c r="J2658" s="5"/>
      <c r="K2658" s="5"/>
      <c r="L2658" s="5"/>
      <c r="M2658" s="5"/>
      <c r="N2658" s="5"/>
      <c r="O2658" s="4"/>
      <c r="P2658" s="4"/>
      <c r="Q2658" s="4"/>
      <c r="R2658" s="4"/>
      <c r="S2658" s="4"/>
      <c r="T2658" s="4"/>
      <c r="U2658" s="4"/>
      <c r="V2658" s="4"/>
      <c r="W2658" s="4"/>
      <c r="Z2658" s="5"/>
      <c r="AA2658" s="5"/>
      <c r="AB2658" s="5"/>
      <c r="AC2658" s="5"/>
      <c r="AD2658" s="5"/>
      <c r="AF2658" s="4"/>
      <c r="AH2658" s="4"/>
      <c r="AI2658" s="4"/>
      <c r="AJ2658" s="4"/>
      <c r="AK2658" s="4"/>
      <c r="AL2658" s="4"/>
      <c r="AM2658" s="4"/>
      <c r="AN2658" s="4"/>
      <c r="AQ2658" s="4"/>
      <c r="AR2658" s="4"/>
      <c r="AS2658" s="4"/>
      <c r="AT2658" s="4"/>
      <c r="AU2658" s="4"/>
      <c r="AW2658" s="4"/>
      <c r="AY2658" s="4"/>
      <c r="AZ2658" s="4"/>
      <c r="BA2658" s="4"/>
      <c r="BB2658" s="4"/>
      <c r="BC2658" s="4"/>
      <c r="BD2658" s="4"/>
      <c r="BE2658" s="4"/>
      <c r="BH2658" s="4"/>
      <c r="BI2658" s="4"/>
      <c r="BJ2658" s="4"/>
      <c r="BK2658" s="4"/>
      <c r="BL2658" s="4"/>
      <c r="BN2658" s="4"/>
      <c r="BP2658" s="4"/>
      <c r="BQ2658" s="4"/>
      <c r="BR2658" s="4"/>
      <c r="BS2658" s="4"/>
      <c r="BT2658" s="4"/>
      <c r="BU2658" s="4"/>
      <c r="BV2658" s="4"/>
      <c r="BY2658" s="4"/>
      <c r="BZ2658" s="4"/>
      <c r="CA2658" s="4"/>
      <c r="CB2658" s="4"/>
      <c r="CC2658" s="4"/>
      <c r="CE2658" s="4"/>
      <c r="CG2658" s="4"/>
      <c r="CH2658" s="4"/>
      <c r="CI2658" s="4"/>
      <c r="CJ2658" s="4"/>
      <c r="CK2658" s="4"/>
      <c r="CL2658" s="4"/>
      <c r="CM2658" s="4"/>
    </row>
    <row r="2659" spans="6:91" x14ac:dyDescent="0.25">
      <c r="F2659" s="4"/>
      <c r="G2659" s="4"/>
      <c r="I2659" s="5"/>
      <c r="J2659" s="5"/>
      <c r="K2659" s="5"/>
      <c r="L2659" s="5"/>
      <c r="M2659" s="5"/>
      <c r="N2659" s="5"/>
      <c r="O2659" s="4"/>
      <c r="P2659" s="4"/>
      <c r="Q2659" s="4"/>
      <c r="R2659" s="4"/>
      <c r="S2659" s="4"/>
      <c r="T2659" s="4"/>
      <c r="U2659" s="4"/>
      <c r="V2659" s="4"/>
      <c r="W2659" s="4"/>
      <c r="Z2659" s="5"/>
      <c r="AA2659" s="5"/>
      <c r="AB2659" s="5"/>
      <c r="AC2659" s="5"/>
      <c r="AD2659" s="5"/>
      <c r="AF2659" s="4"/>
      <c r="AH2659" s="4"/>
      <c r="AI2659" s="4"/>
      <c r="AJ2659" s="4"/>
      <c r="AK2659" s="4"/>
      <c r="AL2659" s="4"/>
      <c r="AM2659" s="4"/>
      <c r="AN2659" s="4"/>
      <c r="AQ2659" s="4"/>
      <c r="AR2659" s="4"/>
      <c r="AS2659" s="4"/>
      <c r="AT2659" s="4"/>
      <c r="AU2659" s="4"/>
      <c r="AW2659" s="4"/>
      <c r="AY2659" s="4"/>
      <c r="AZ2659" s="4"/>
      <c r="BA2659" s="4"/>
      <c r="BB2659" s="4"/>
      <c r="BC2659" s="4"/>
      <c r="BD2659" s="4"/>
      <c r="BE2659" s="4"/>
      <c r="BH2659" s="4"/>
      <c r="BI2659" s="4"/>
      <c r="BJ2659" s="4"/>
      <c r="BK2659" s="4"/>
      <c r="BL2659" s="4"/>
      <c r="BN2659" s="4"/>
      <c r="BP2659" s="4"/>
      <c r="BQ2659" s="4"/>
      <c r="BR2659" s="4"/>
      <c r="BS2659" s="4"/>
      <c r="BT2659" s="4"/>
      <c r="BU2659" s="4"/>
      <c r="BV2659" s="4"/>
      <c r="BY2659" s="4"/>
      <c r="BZ2659" s="4"/>
      <c r="CA2659" s="4"/>
      <c r="CB2659" s="4"/>
      <c r="CC2659" s="4"/>
      <c r="CE2659" s="4"/>
      <c r="CG2659" s="4"/>
      <c r="CH2659" s="4"/>
      <c r="CI2659" s="4"/>
      <c r="CJ2659" s="4"/>
      <c r="CK2659" s="4"/>
      <c r="CL2659" s="4"/>
      <c r="CM2659" s="4"/>
    </row>
    <row r="2660" spans="6:91" x14ac:dyDescent="0.25">
      <c r="F2660" s="4"/>
      <c r="G2660" s="4"/>
      <c r="I2660" s="5"/>
      <c r="J2660" s="5"/>
      <c r="K2660" s="5"/>
      <c r="L2660" s="5"/>
      <c r="M2660" s="5"/>
      <c r="N2660" s="5"/>
      <c r="O2660" s="4"/>
      <c r="P2660" s="4"/>
      <c r="Q2660" s="4"/>
      <c r="R2660" s="4"/>
      <c r="S2660" s="4"/>
      <c r="T2660" s="4"/>
      <c r="U2660" s="4"/>
      <c r="V2660" s="4"/>
      <c r="W2660" s="4"/>
      <c r="Z2660" s="5"/>
      <c r="AA2660" s="5"/>
      <c r="AB2660" s="5"/>
      <c r="AC2660" s="5"/>
      <c r="AD2660" s="5"/>
      <c r="AF2660" s="4"/>
      <c r="AH2660" s="4"/>
      <c r="AI2660" s="4"/>
      <c r="AJ2660" s="4"/>
      <c r="AK2660" s="4"/>
      <c r="AL2660" s="4"/>
      <c r="AM2660" s="4"/>
      <c r="AN2660" s="4"/>
      <c r="AQ2660" s="4"/>
      <c r="AR2660" s="4"/>
      <c r="AS2660" s="4"/>
      <c r="AT2660" s="4"/>
      <c r="AU2660" s="4"/>
      <c r="AW2660" s="4"/>
      <c r="AY2660" s="4"/>
      <c r="AZ2660" s="4"/>
      <c r="BA2660" s="4"/>
      <c r="BB2660" s="4"/>
      <c r="BC2660" s="4"/>
      <c r="BD2660" s="4"/>
      <c r="BE2660" s="4"/>
      <c r="BH2660" s="4"/>
      <c r="BI2660" s="4"/>
      <c r="BJ2660" s="4"/>
      <c r="BK2660" s="4"/>
      <c r="BL2660" s="4"/>
      <c r="BN2660" s="4"/>
      <c r="BP2660" s="4"/>
      <c r="BQ2660" s="4"/>
      <c r="BR2660" s="4"/>
      <c r="BS2660" s="4"/>
      <c r="BT2660" s="4"/>
      <c r="BU2660" s="4"/>
      <c r="BV2660" s="4"/>
      <c r="BY2660" s="4"/>
      <c r="BZ2660" s="4"/>
      <c r="CA2660" s="4"/>
      <c r="CB2660" s="4"/>
      <c r="CC2660" s="4"/>
      <c r="CE2660" s="4"/>
      <c r="CG2660" s="4"/>
      <c r="CH2660" s="4"/>
      <c r="CI2660" s="4"/>
      <c r="CJ2660" s="4"/>
      <c r="CK2660" s="4"/>
      <c r="CL2660" s="4"/>
      <c r="CM2660" s="4"/>
    </row>
    <row r="2661" spans="6:91" x14ac:dyDescent="0.25">
      <c r="F2661" s="4"/>
      <c r="G2661" s="4"/>
      <c r="I2661" s="5"/>
      <c r="J2661" s="5"/>
      <c r="K2661" s="5"/>
      <c r="L2661" s="5"/>
      <c r="M2661" s="5"/>
      <c r="N2661" s="5"/>
      <c r="O2661" s="4"/>
      <c r="P2661" s="4"/>
      <c r="Q2661" s="4"/>
      <c r="R2661" s="4"/>
      <c r="S2661" s="4"/>
      <c r="T2661" s="4"/>
      <c r="U2661" s="4"/>
      <c r="V2661" s="4"/>
      <c r="W2661" s="4"/>
      <c r="Z2661" s="5"/>
      <c r="AA2661" s="5"/>
      <c r="AB2661" s="5"/>
      <c r="AC2661" s="5"/>
      <c r="AD2661" s="5"/>
      <c r="AF2661" s="4"/>
      <c r="AH2661" s="4"/>
      <c r="AI2661" s="4"/>
      <c r="AJ2661" s="4"/>
      <c r="AK2661" s="4"/>
      <c r="AL2661" s="4"/>
      <c r="AM2661" s="4"/>
      <c r="AN2661" s="4"/>
      <c r="AQ2661" s="4"/>
      <c r="AR2661" s="4"/>
      <c r="AS2661" s="4"/>
      <c r="AT2661" s="4"/>
      <c r="AU2661" s="4"/>
      <c r="AW2661" s="4"/>
      <c r="AY2661" s="4"/>
      <c r="AZ2661" s="4"/>
      <c r="BA2661" s="4"/>
      <c r="BB2661" s="4"/>
      <c r="BC2661" s="4"/>
      <c r="BD2661" s="4"/>
      <c r="BE2661" s="4"/>
      <c r="BH2661" s="4"/>
      <c r="BI2661" s="4"/>
      <c r="BJ2661" s="4"/>
      <c r="BK2661" s="4"/>
      <c r="BL2661" s="4"/>
      <c r="BN2661" s="4"/>
      <c r="BP2661" s="4"/>
      <c r="BQ2661" s="4"/>
      <c r="BR2661" s="4"/>
      <c r="BS2661" s="4"/>
      <c r="BT2661" s="4"/>
      <c r="BU2661" s="4"/>
      <c r="BV2661" s="4"/>
      <c r="BY2661" s="4"/>
      <c r="BZ2661" s="4"/>
      <c r="CA2661" s="4"/>
      <c r="CB2661" s="4"/>
      <c r="CC2661" s="4"/>
      <c r="CE2661" s="4"/>
      <c r="CG2661" s="4"/>
      <c r="CH2661" s="4"/>
      <c r="CI2661" s="4"/>
      <c r="CJ2661" s="4"/>
      <c r="CK2661" s="4"/>
      <c r="CL2661" s="4"/>
      <c r="CM2661" s="4"/>
    </row>
    <row r="2662" spans="6:91" x14ac:dyDescent="0.25">
      <c r="F2662" s="4"/>
      <c r="G2662" s="4"/>
      <c r="I2662" s="5"/>
      <c r="J2662" s="5"/>
      <c r="K2662" s="5"/>
      <c r="L2662" s="5"/>
      <c r="M2662" s="5"/>
      <c r="N2662" s="5"/>
      <c r="O2662" s="4"/>
      <c r="P2662" s="4"/>
      <c r="Q2662" s="4"/>
      <c r="R2662" s="4"/>
      <c r="S2662" s="4"/>
      <c r="T2662" s="4"/>
      <c r="U2662" s="4"/>
      <c r="V2662" s="4"/>
      <c r="W2662" s="4"/>
      <c r="Z2662" s="5"/>
      <c r="AA2662" s="5"/>
      <c r="AB2662" s="5"/>
      <c r="AC2662" s="5"/>
      <c r="AD2662" s="5"/>
      <c r="AF2662" s="4"/>
      <c r="AH2662" s="4"/>
      <c r="AI2662" s="4"/>
      <c r="AJ2662" s="4"/>
      <c r="AK2662" s="4"/>
      <c r="AL2662" s="4"/>
      <c r="AM2662" s="4"/>
      <c r="AN2662" s="4"/>
      <c r="AQ2662" s="4"/>
      <c r="AR2662" s="4"/>
      <c r="AS2662" s="4"/>
      <c r="AT2662" s="4"/>
      <c r="AU2662" s="4"/>
      <c r="AW2662" s="4"/>
      <c r="AY2662" s="4"/>
      <c r="AZ2662" s="4"/>
      <c r="BA2662" s="4"/>
      <c r="BB2662" s="4"/>
      <c r="BC2662" s="4"/>
      <c r="BD2662" s="4"/>
      <c r="BE2662" s="4"/>
      <c r="BH2662" s="4"/>
      <c r="BI2662" s="4"/>
      <c r="BJ2662" s="4"/>
      <c r="BK2662" s="4"/>
      <c r="BL2662" s="4"/>
      <c r="BN2662" s="4"/>
      <c r="BP2662" s="4"/>
      <c r="BQ2662" s="4"/>
      <c r="BR2662" s="4"/>
      <c r="BS2662" s="4"/>
      <c r="BT2662" s="4"/>
      <c r="BU2662" s="4"/>
      <c r="BV2662" s="4"/>
      <c r="BY2662" s="4"/>
      <c r="BZ2662" s="4"/>
      <c r="CA2662" s="4"/>
      <c r="CB2662" s="4"/>
      <c r="CC2662" s="4"/>
      <c r="CE2662" s="4"/>
      <c r="CG2662" s="4"/>
      <c r="CH2662" s="4"/>
      <c r="CI2662" s="4"/>
      <c r="CJ2662" s="4"/>
      <c r="CK2662" s="4"/>
      <c r="CL2662" s="4"/>
      <c r="CM2662" s="4"/>
    </row>
    <row r="2663" spans="6:91" x14ac:dyDescent="0.25">
      <c r="F2663" s="4"/>
      <c r="G2663" s="4"/>
      <c r="I2663" s="5"/>
      <c r="J2663" s="5"/>
      <c r="K2663" s="5"/>
      <c r="L2663" s="5"/>
      <c r="M2663" s="5"/>
      <c r="N2663" s="5"/>
      <c r="O2663" s="4"/>
      <c r="P2663" s="4"/>
      <c r="Q2663" s="4"/>
      <c r="R2663" s="4"/>
      <c r="S2663" s="4"/>
      <c r="T2663" s="4"/>
      <c r="U2663" s="4"/>
      <c r="V2663" s="4"/>
      <c r="W2663" s="4"/>
      <c r="Z2663" s="5"/>
      <c r="AA2663" s="5"/>
      <c r="AB2663" s="5"/>
      <c r="AC2663" s="5"/>
      <c r="AD2663" s="5"/>
      <c r="AF2663" s="4"/>
      <c r="AH2663" s="4"/>
      <c r="AI2663" s="4"/>
      <c r="AJ2663" s="4"/>
      <c r="AK2663" s="4"/>
      <c r="AL2663" s="4"/>
      <c r="AM2663" s="4"/>
      <c r="AN2663" s="4"/>
      <c r="AQ2663" s="4"/>
      <c r="AR2663" s="4"/>
      <c r="AS2663" s="4"/>
      <c r="AT2663" s="4"/>
      <c r="AU2663" s="4"/>
      <c r="AW2663" s="4"/>
      <c r="AY2663" s="4"/>
      <c r="AZ2663" s="4"/>
      <c r="BA2663" s="4"/>
      <c r="BB2663" s="4"/>
      <c r="BC2663" s="4"/>
      <c r="BD2663" s="4"/>
      <c r="BE2663" s="4"/>
      <c r="BH2663" s="4"/>
      <c r="BI2663" s="4"/>
      <c r="BJ2663" s="4"/>
      <c r="BK2663" s="4"/>
      <c r="BL2663" s="4"/>
      <c r="BN2663" s="4"/>
      <c r="BP2663" s="4"/>
      <c r="BQ2663" s="4"/>
      <c r="BR2663" s="4"/>
      <c r="BS2663" s="4"/>
      <c r="BT2663" s="4"/>
      <c r="BU2663" s="4"/>
      <c r="BV2663" s="4"/>
      <c r="BY2663" s="4"/>
      <c r="BZ2663" s="4"/>
      <c r="CA2663" s="4"/>
      <c r="CB2663" s="4"/>
      <c r="CC2663" s="4"/>
      <c r="CE2663" s="4"/>
      <c r="CG2663" s="4"/>
      <c r="CH2663" s="4"/>
      <c r="CI2663" s="4"/>
      <c r="CJ2663" s="4"/>
      <c r="CK2663" s="4"/>
      <c r="CL2663" s="4"/>
      <c r="CM2663" s="4"/>
    </row>
    <row r="2664" spans="6:91" x14ac:dyDescent="0.25">
      <c r="F2664" s="4"/>
      <c r="G2664" s="4"/>
      <c r="I2664" s="5"/>
      <c r="J2664" s="5"/>
      <c r="K2664" s="5"/>
      <c r="L2664" s="5"/>
      <c r="M2664" s="5"/>
      <c r="N2664" s="5"/>
      <c r="O2664" s="4"/>
      <c r="P2664" s="4"/>
      <c r="Q2664" s="4"/>
      <c r="R2664" s="4"/>
      <c r="S2664" s="4"/>
      <c r="T2664" s="4"/>
      <c r="U2664" s="4"/>
      <c r="V2664" s="4"/>
      <c r="W2664" s="4"/>
      <c r="Z2664" s="5"/>
      <c r="AA2664" s="5"/>
      <c r="AB2664" s="5"/>
      <c r="AC2664" s="5"/>
      <c r="AD2664" s="5"/>
      <c r="AF2664" s="4"/>
      <c r="AH2664" s="4"/>
      <c r="AI2664" s="4"/>
      <c r="AJ2664" s="4"/>
      <c r="AK2664" s="4"/>
      <c r="AL2664" s="4"/>
      <c r="AM2664" s="4"/>
      <c r="AN2664" s="4"/>
      <c r="AQ2664" s="4"/>
      <c r="AR2664" s="4"/>
      <c r="AS2664" s="4"/>
      <c r="AT2664" s="4"/>
      <c r="AU2664" s="4"/>
      <c r="AW2664" s="4"/>
      <c r="AY2664" s="4"/>
      <c r="AZ2664" s="4"/>
      <c r="BA2664" s="4"/>
      <c r="BB2664" s="4"/>
      <c r="BC2664" s="4"/>
      <c r="BD2664" s="4"/>
      <c r="BE2664" s="4"/>
      <c r="BH2664" s="4"/>
      <c r="BI2664" s="4"/>
      <c r="BJ2664" s="4"/>
      <c r="BK2664" s="4"/>
      <c r="BL2664" s="4"/>
      <c r="BN2664" s="4"/>
      <c r="BP2664" s="4"/>
      <c r="BQ2664" s="4"/>
      <c r="BR2664" s="4"/>
      <c r="BS2664" s="4"/>
      <c r="BT2664" s="4"/>
      <c r="BU2664" s="4"/>
      <c r="BV2664" s="4"/>
      <c r="BY2664" s="4"/>
      <c r="BZ2664" s="4"/>
      <c r="CA2664" s="4"/>
      <c r="CB2664" s="4"/>
      <c r="CC2664" s="4"/>
      <c r="CE2664" s="4"/>
      <c r="CG2664" s="4"/>
      <c r="CH2664" s="4"/>
      <c r="CI2664" s="4"/>
      <c r="CJ2664" s="4"/>
      <c r="CK2664" s="4"/>
      <c r="CL2664" s="4"/>
      <c r="CM2664" s="4"/>
    </row>
    <row r="2665" spans="6:91" x14ac:dyDescent="0.25">
      <c r="F2665" s="4"/>
      <c r="G2665" s="4"/>
      <c r="I2665" s="5"/>
      <c r="J2665" s="5"/>
      <c r="K2665" s="5"/>
      <c r="L2665" s="5"/>
      <c r="M2665" s="5"/>
      <c r="N2665" s="5"/>
      <c r="O2665" s="4"/>
      <c r="P2665" s="4"/>
      <c r="Q2665" s="4"/>
      <c r="R2665" s="4"/>
      <c r="S2665" s="4"/>
      <c r="T2665" s="4"/>
      <c r="U2665" s="4"/>
      <c r="V2665" s="4"/>
      <c r="W2665" s="4"/>
      <c r="Z2665" s="5"/>
      <c r="AA2665" s="5"/>
      <c r="AB2665" s="5"/>
      <c r="AC2665" s="5"/>
      <c r="AD2665" s="5"/>
      <c r="AF2665" s="4"/>
      <c r="AH2665" s="4"/>
      <c r="AI2665" s="4"/>
      <c r="AJ2665" s="4"/>
      <c r="AK2665" s="4"/>
      <c r="AL2665" s="4"/>
      <c r="AM2665" s="4"/>
      <c r="AN2665" s="4"/>
      <c r="AQ2665" s="4"/>
      <c r="AR2665" s="4"/>
      <c r="AS2665" s="4"/>
      <c r="AT2665" s="4"/>
      <c r="AU2665" s="4"/>
      <c r="AW2665" s="4"/>
      <c r="AY2665" s="4"/>
      <c r="AZ2665" s="4"/>
      <c r="BA2665" s="4"/>
      <c r="BB2665" s="4"/>
      <c r="BC2665" s="4"/>
      <c r="BD2665" s="4"/>
      <c r="BE2665" s="4"/>
      <c r="BH2665" s="4"/>
      <c r="BI2665" s="4"/>
      <c r="BJ2665" s="4"/>
      <c r="BK2665" s="4"/>
      <c r="BL2665" s="4"/>
      <c r="BN2665" s="4"/>
      <c r="BP2665" s="4"/>
      <c r="BQ2665" s="4"/>
      <c r="BR2665" s="4"/>
      <c r="BS2665" s="4"/>
      <c r="BT2665" s="4"/>
      <c r="BU2665" s="4"/>
      <c r="BV2665" s="4"/>
      <c r="BY2665" s="4"/>
      <c r="BZ2665" s="4"/>
      <c r="CA2665" s="4"/>
      <c r="CB2665" s="4"/>
      <c r="CC2665" s="4"/>
      <c r="CE2665" s="4"/>
      <c r="CG2665" s="4"/>
      <c r="CH2665" s="4"/>
      <c r="CI2665" s="4"/>
      <c r="CJ2665" s="4"/>
      <c r="CK2665" s="4"/>
      <c r="CL2665" s="4"/>
      <c r="CM2665" s="4"/>
    </row>
    <row r="2666" spans="6:91" x14ac:dyDescent="0.25">
      <c r="F2666" s="4"/>
      <c r="G2666" s="4"/>
      <c r="I2666" s="5"/>
      <c r="J2666" s="5"/>
      <c r="K2666" s="5"/>
      <c r="L2666" s="5"/>
      <c r="M2666" s="5"/>
      <c r="N2666" s="5"/>
      <c r="O2666" s="4"/>
      <c r="P2666" s="4"/>
      <c r="Q2666" s="4"/>
      <c r="R2666" s="4"/>
      <c r="S2666" s="4"/>
      <c r="T2666" s="4"/>
      <c r="U2666" s="4"/>
      <c r="V2666" s="4"/>
      <c r="W2666" s="4"/>
      <c r="Z2666" s="5"/>
      <c r="AA2666" s="5"/>
      <c r="AB2666" s="5"/>
      <c r="AC2666" s="5"/>
      <c r="AD2666" s="5"/>
      <c r="AF2666" s="4"/>
      <c r="AH2666" s="4"/>
      <c r="AI2666" s="4"/>
      <c r="AJ2666" s="4"/>
      <c r="AK2666" s="4"/>
      <c r="AL2666" s="4"/>
      <c r="AM2666" s="4"/>
      <c r="AN2666" s="4"/>
      <c r="AQ2666" s="4"/>
      <c r="AR2666" s="4"/>
      <c r="AS2666" s="4"/>
      <c r="AT2666" s="4"/>
      <c r="AU2666" s="4"/>
      <c r="AW2666" s="4"/>
      <c r="AY2666" s="4"/>
      <c r="AZ2666" s="4"/>
      <c r="BA2666" s="4"/>
      <c r="BB2666" s="4"/>
      <c r="BC2666" s="4"/>
      <c r="BD2666" s="4"/>
      <c r="BE2666" s="4"/>
      <c r="BH2666" s="4"/>
      <c r="BI2666" s="4"/>
      <c r="BJ2666" s="4"/>
      <c r="BK2666" s="4"/>
      <c r="BL2666" s="4"/>
      <c r="BN2666" s="4"/>
      <c r="BP2666" s="4"/>
      <c r="BQ2666" s="4"/>
      <c r="BR2666" s="4"/>
      <c r="BS2666" s="4"/>
      <c r="BT2666" s="4"/>
      <c r="BU2666" s="4"/>
      <c r="BV2666" s="4"/>
      <c r="BY2666" s="4"/>
      <c r="BZ2666" s="4"/>
      <c r="CA2666" s="4"/>
      <c r="CB2666" s="4"/>
      <c r="CC2666" s="4"/>
      <c r="CE2666" s="4"/>
      <c r="CG2666" s="4"/>
      <c r="CH2666" s="4"/>
      <c r="CI2666" s="4"/>
      <c r="CJ2666" s="4"/>
      <c r="CK2666" s="4"/>
      <c r="CL2666" s="4"/>
      <c r="CM2666" s="4"/>
    </row>
    <row r="2667" spans="6:91" x14ac:dyDescent="0.25">
      <c r="F2667" s="4"/>
      <c r="G2667" s="4"/>
      <c r="I2667" s="5"/>
      <c r="J2667" s="5"/>
      <c r="K2667" s="5"/>
      <c r="L2667" s="5"/>
      <c r="M2667" s="5"/>
      <c r="N2667" s="5"/>
      <c r="O2667" s="4"/>
      <c r="P2667" s="4"/>
      <c r="Q2667" s="4"/>
      <c r="R2667" s="4"/>
      <c r="S2667" s="4"/>
      <c r="T2667" s="4"/>
      <c r="U2667" s="4"/>
      <c r="V2667" s="4"/>
      <c r="W2667" s="4"/>
      <c r="Z2667" s="5"/>
      <c r="AA2667" s="5"/>
      <c r="AB2667" s="5"/>
      <c r="AC2667" s="5"/>
      <c r="AD2667" s="5"/>
      <c r="AF2667" s="4"/>
      <c r="AH2667" s="4"/>
      <c r="AI2667" s="4"/>
      <c r="AJ2667" s="4"/>
      <c r="AK2667" s="4"/>
      <c r="AL2667" s="4"/>
      <c r="AM2667" s="4"/>
      <c r="AN2667" s="4"/>
      <c r="AQ2667" s="4"/>
      <c r="AR2667" s="4"/>
      <c r="AS2667" s="4"/>
      <c r="AT2667" s="4"/>
      <c r="AU2667" s="4"/>
      <c r="AW2667" s="4"/>
      <c r="AY2667" s="4"/>
      <c r="AZ2667" s="4"/>
      <c r="BA2667" s="4"/>
      <c r="BB2667" s="4"/>
      <c r="BC2667" s="4"/>
      <c r="BD2667" s="4"/>
      <c r="BE2667" s="4"/>
      <c r="BH2667" s="4"/>
      <c r="BI2667" s="4"/>
      <c r="BJ2667" s="4"/>
      <c r="BK2667" s="4"/>
      <c r="BL2667" s="4"/>
      <c r="BN2667" s="4"/>
      <c r="BP2667" s="4"/>
      <c r="BQ2667" s="4"/>
      <c r="BR2667" s="4"/>
      <c r="BS2667" s="4"/>
      <c r="BT2667" s="4"/>
      <c r="BU2667" s="4"/>
      <c r="BV2667" s="4"/>
      <c r="BY2667" s="4"/>
      <c r="BZ2667" s="4"/>
      <c r="CA2667" s="4"/>
      <c r="CB2667" s="4"/>
      <c r="CC2667" s="4"/>
      <c r="CE2667" s="4"/>
      <c r="CG2667" s="4"/>
      <c r="CH2667" s="4"/>
      <c r="CI2667" s="4"/>
      <c r="CJ2667" s="4"/>
      <c r="CK2667" s="4"/>
      <c r="CL2667" s="4"/>
      <c r="CM2667" s="4"/>
    </row>
    <row r="2668" spans="6:91" x14ac:dyDescent="0.25">
      <c r="F2668" s="4"/>
      <c r="G2668" s="4"/>
      <c r="I2668" s="5"/>
      <c r="J2668" s="5"/>
      <c r="K2668" s="5"/>
      <c r="L2668" s="5"/>
      <c r="M2668" s="5"/>
      <c r="N2668" s="5"/>
      <c r="O2668" s="4"/>
      <c r="P2668" s="4"/>
      <c r="Q2668" s="4"/>
      <c r="R2668" s="4"/>
      <c r="S2668" s="4"/>
      <c r="T2668" s="4"/>
      <c r="U2668" s="4"/>
      <c r="V2668" s="4"/>
      <c r="W2668" s="4"/>
      <c r="Z2668" s="5"/>
      <c r="AA2668" s="5"/>
      <c r="AB2668" s="5"/>
      <c r="AC2668" s="5"/>
      <c r="AD2668" s="5"/>
      <c r="AF2668" s="4"/>
      <c r="AH2668" s="4"/>
      <c r="AI2668" s="4"/>
      <c r="AJ2668" s="4"/>
      <c r="AK2668" s="4"/>
      <c r="AL2668" s="4"/>
      <c r="AM2668" s="4"/>
      <c r="AN2668" s="4"/>
      <c r="AQ2668" s="4"/>
      <c r="AR2668" s="4"/>
      <c r="AS2668" s="4"/>
      <c r="AT2668" s="4"/>
      <c r="AU2668" s="4"/>
      <c r="AW2668" s="4"/>
      <c r="AY2668" s="4"/>
      <c r="AZ2668" s="4"/>
      <c r="BA2668" s="4"/>
      <c r="BB2668" s="4"/>
      <c r="BC2668" s="4"/>
      <c r="BD2668" s="4"/>
      <c r="BE2668" s="4"/>
      <c r="BH2668" s="4"/>
      <c r="BI2668" s="4"/>
      <c r="BJ2668" s="4"/>
      <c r="BK2668" s="4"/>
      <c r="BL2668" s="4"/>
      <c r="BN2668" s="4"/>
      <c r="BP2668" s="4"/>
      <c r="BQ2668" s="4"/>
      <c r="BR2668" s="4"/>
      <c r="BS2668" s="4"/>
      <c r="BT2668" s="4"/>
      <c r="BU2668" s="4"/>
      <c r="BV2668" s="4"/>
      <c r="BY2668" s="4"/>
      <c r="BZ2668" s="4"/>
      <c r="CA2668" s="4"/>
      <c r="CB2668" s="4"/>
      <c r="CC2668" s="4"/>
      <c r="CE2668" s="4"/>
      <c r="CG2668" s="4"/>
      <c r="CH2668" s="4"/>
      <c r="CI2668" s="4"/>
      <c r="CJ2668" s="4"/>
      <c r="CK2668" s="4"/>
      <c r="CL2668" s="4"/>
      <c r="CM2668" s="4"/>
    </row>
  </sheetData>
  <mergeCells count="632">
    <mergeCell ref="BE193:BE198"/>
    <mergeCell ref="AY193:AY198"/>
    <mergeCell ref="AZ193:AZ198"/>
    <mergeCell ref="BA193:BA198"/>
    <mergeCell ref="BB193:BB198"/>
    <mergeCell ref="BC193:BC198"/>
    <mergeCell ref="BD193:BD198"/>
    <mergeCell ref="BA130:BA157"/>
    <mergeCell ref="BB130:BB157"/>
    <mergeCell ref="BC130:BC157"/>
    <mergeCell ref="BD130:BD157"/>
    <mergeCell ref="BE130:BE157"/>
    <mergeCell ref="BD215:BD223"/>
    <mergeCell ref="BE215:BE223"/>
    <mergeCell ref="BA176:BA191"/>
    <mergeCell ref="BB176:BB191"/>
    <mergeCell ref="BC176:BC191"/>
    <mergeCell ref="BE166:BE174"/>
    <mergeCell ref="AY121:AY128"/>
    <mergeCell ref="AZ121:AZ128"/>
    <mergeCell ref="BA121:BA128"/>
    <mergeCell ref="BB121:BB128"/>
    <mergeCell ref="BC121:BC128"/>
    <mergeCell ref="BD121:BD128"/>
    <mergeCell ref="BE121:BE128"/>
    <mergeCell ref="AY130:AY157"/>
    <mergeCell ref="AZ130:AZ157"/>
    <mergeCell ref="AY166:AY174"/>
    <mergeCell ref="AZ166:AZ174"/>
    <mergeCell ref="BA166:BA174"/>
    <mergeCell ref="BB166:BB174"/>
    <mergeCell ref="BC166:BC174"/>
    <mergeCell ref="BD166:BD174"/>
    <mergeCell ref="BD42:BD56"/>
    <mergeCell ref="BE42:BE56"/>
    <mergeCell ref="AY58:AY64"/>
    <mergeCell ref="AZ58:AZ64"/>
    <mergeCell ref="BA58:BA64"/>
    <mergeCell ref="BB58:BB64"/>
    <mergeCell ref="BC58:BC64"/>
    <mergeCell ref="BD58:BD64"/>
    <mergeCell ref="BE58:BE64"/>
    <mergeCell ref="AY100:AY119"/>
    <mergeCell ref="AZ100:AZ119"/>
    <mergeCell ref="BA100:BA119"/>
    <mergeCell ref="BB100:BB119"/>
    <mergeCell ref="BC100:BC119"/>
    <mergeCell ref="BD100:BD119"/>
    <mergeCell ref="AY66:AY98"/>
    <mergeCell ref="AZ66:AZ98"/>
    <mergeCell ref="BA66:BA98"/>
    <mergeCell ref="BB66:BB98"/>
    <mergeCell ref="BC66:BC98"/>
    <mergeCell ref="BD66:BD98"/>
    <mergeCell ref="BB25:BB40"/>
    <mergeCell ref="BC25:BC40"/>
    <mergeCell ref="BD25:BD40"/>
    <mergeCell ref="BE25:BE40"/>
    <mergeCell ref="BP159:BP164"/>
    <mergeCell ref="BQ159:BQ164"/>
    <mergeCell ref="BP66:BP98"/>
    <mergeCell ref="BQ66:BQ98"/>
    <mergeCell ref="BE100:BE119"/>
    <mergeCell ref="BB42:BB56"/>
    <mergeCell ref="BT130:BT157"/>
    <mergeCell ref="BU130:BU157"/>
    <mergeCell ref="BV130:BV157"/>
    <mergeCell ref="BP193:BP198"/>
    <mergeCell ref="BQ193:BQ198"/>
    <mergeCell ref="BR193:BR198"/>
    <mergeCell ref="BS193:BS198"/>
    <mergeCell ref="BT193:BT198"/>
    <mergeCell ref="BU193:BU198"/>
    <mergeCell ref="BV193:BV198"/>
    <mergeCell ref="BT166:BT174"/>
    <mergeCell ref="BU166:BU174"/>
    <mergeCell ref="BV166:BV174"/>
    <mergeCell ref="BP121:BP128"/>
    <mergeCell ref="BQ121:BQ128"/>
    <mergeCell ref="BR121:BR128"/>
    <mergeCell ref="BS121:BS128"/>
    <mergeCell ref="BT121:BT128"/>
    <mergeCell ref="BU121:BU128"/>
    <mergeCell ref="BV121:BV128"/>
    <mergeCell ref="BU100:BU119"/>
    <mergeCell ref="BV100:BV119"/>
    <mergeCell ref="BP42:BP56"/>
    <mergeCell ref="BQ42:BQ56"/>
    <mergeCell ref="BR42:BR56"/>
    <mergeCell ref="BS42:BS56"/>
    <mergeCell ref="BT42:BT56"/>
    <mergeCell ref="BU42:BU56"/>
    <mergeCell ref="BV42:BV56"/>
    <mergeCell ref="BP58:BP64"/>
    <mergeCell ref="AQ2:AU2"/>
    <mergeCell ref="AV2:AW2"/>
    <mergeCell ref="AY2:BE2"/>
    <mergeCell ref="AV3:AX3"/>
    <mergeCell ref="AY3:BF3"/>
    <mergeCell ref="BS100:BS119"/>
    <mergeCell ref="BQ58:BQ64"/>
    <mergeCell ref="BR58:BR64"/>
    <mergeCell ref="BS58:BS64"/>
    <mergeCell ref="AY25:AY40"/>
    <mergeCell ref="BD7:BD23"/>
    <mergeCell ref="BE7:BE23"/>
    <mergeCell ref="CG2:CM2"/>
    <mergeCell ref="CG3:CN3"/>
    <mergeCell ref="BH2:BL2"/>
    <mergeCell ref="BM2:BN2"/>
    <mergeCell ref="BP2:BV2"/>
    <mergeCell ref="BM3:BO3"/>
    <mergeCell ref="BP3:BW3"/>
    <mergeCell ref="AH2:AN2"/>
    <mergeCell ref="AH3:AO3"/>
    <mergeCell ref="AY4:BD4"/>
    <mergeCell ref="AY7:AY23"/>
    <mergeCell ref="BP4:BU4"/>
    <mergeCell ref="BP7:BP23"/>
    <mergeCell ref="BQ7:BQ23"/>
    <mergeCell ref="BR7:BR23"/>
    <mergeCell ref="BS7:BS23"/>
    <mergeCell ref="BT7:BT23"/>
    <mergeCell ref="C2:D2"/>
    <mergeCell ref="C3:D3"/>
    <mergeCell ref="B72:B90"/>
    <mergeCell ref="B91:B93"/>
    <mergeCell ref="BV7:BV23"/>
    <mergeCell ref="BP25:BP40"/>
    <mergeCell ref="BQ25:BQ40"/>
    <mergeCell ref="BR25:BR40"/>
    <mergeCell ref="BS25:BS40"/>
    <mergeCell ref="BT25:BT40"/>
    <mergeCell ref="B66:B71"/>
    <mergeCell ref="B58:B60"/>
    <mergeCell ref="B61:B64"/>
    <mergeCell ref="B121:B122"/>
    <mergeCell ref="B125:B128"/>
    <mergeCell ref="B137:B139"/>
    <mergeCell ref="B130:B136"/>
    <mergeCell ref="B115:B119"/>
    <mergeCell ref="N3:P3"/>
    <mergeCell ref="AE3:AG3"/>
    <mergeCell ref="BY2:CC2"/>
    <mergeCell ref="CD2:CE2"/>
    <mergeCell ref="CD3:CF3"/>
    <mergeCell ref="N2:O2"/>
    <mergeCell ref="AE2:AF2"/>
    <mergeCell ref="Z2:AD2"/>
    <mergeCell ref="Q2:W2"/>
    <mergeCell ref="Q3:X3"/>
    <mergeCell ref="B159:B160"/>
    <mergeCell ref="B123:B124"/>
    <mergeCell ref="A200:A214"/>
    <mergeCell ref="A193:A199"/>
    <mergeCell ref="A176:A192"/>
    <mergeCell ref="A166:A175"/>
    <mergeCell ref="B153:B157"/>
    <mergeCell ref="B140:B144"/>
    <mergeCell ref="B145:B147"/>
    <mergeCell ref="B148:B152"/>
    <mergeCell ref="B166:B170"/>
    <mergeCell ref="B207:B208"/>
    <mergeCell ref="B195:B198"/>
    <mergeCell ref="B193:B194"/>
    <mergeCell ref="B200:B206"/>
    <mergeCell ref="B171:B174"/>
    <mergeCell ref="A42:A57"/>
    <mergeCell ref="A58:A65"/>
    <mergeCell ref="B110:B114"/>
    <mergeCell ref="B94:B98"/>
    <mergeCell ref="B215:B219"/>
    <mergeCell ref="B161:B164"/>
    <mergeCell ref="B187:B191"/>
    <mergeCell ref="B176:B182"/>
    <mergeCell ref="B183:B186"/>
    <mergeCell ref="B209:B213"/>
    <mergeCell ref="B7:B12"/>
    <mergeCell ref="B13:B14"/>
    <mergeCell ref="B15:B16"/>
    <mergeCell ref="B17:B18"/>
    <mergeCell ref="A7:A24"/>
    <mergeCell ref="A25:A41"/>
    <mergeCell ref="I2:M2"/>
    <mergeCell ref="B100:B103"/>
    <mergeCell ref="B104:B109"/>
    <mergeCell ref="B36:B40"/>
    <mergeCell ref="B25:B30"/>
    <mergeCell ref="B31:B35"/>
    <mergeCell ref="B42:B46"/>
    <mergeCell ref="B52:B56"/>
    <mergeCell ref="B47:B51"/>
    <mergeCell ref="B19:B23"/>
    <mergeCell ref="B236:B240"/>
    <mergeCell ref="B225:B227"/>
    <mergeCell ref="B232:B235"/>
    <mergeCell ref="B228:B231"/>
    <mergeCell ref="B220:B223"/>
    <mergeCell ref="A225:A241"/>
    <mergeCell ref="A215:A224"/>
    <mergeCell ref="A243:A257"/>
    <mergeCell ref="A159:A165"/>
    <mergeCell ref="A130:A158"/>
    <mergeCell ref="A121:A129"/>
    <mergeCell ref="A100:A120"/>
    <mergeCell ref="A66:A99"/>
    <mergeCell ref="A288:B288"/>
    <mergeCell ref="B259:B270"/>
    <mergeCell ref="A259:A277"/>
    <mergeCell ref="A287:B287"/>
    <mergeCell ref="B243:B249"/>
    <mergeCell ref="B250:B255"/>
    <mergeCell ref="A279:A285"/>
    <mergeCell ref="B279:B282"/>
    <mergeCell ref="B283:B285"/>
    <mergeCell ref="B271:B277"/>
    <mergeCell ref="AM7:AM23"/>
    <mergeCell ref="AN7:AN23"/>
    <mergeCell ref="CG7:CG23"/>
    <mergeCell ref="CH7:CH23"/>
    <mergeCell ref="CI7:CI23"/>
    <mergeCell ref="AZ7:AZ23"/>
    <mergeCell ref="BA7:BA23"/>
    <mergeCell ref="BB7:BB23"/>
    <mergeCell ref="BU7:BU23"/>
    <mergeCell ref="BC7:BC23"/>
    <mergeCell ref="W7:W23"/>
    <mergeCell ref="AH7:AH23"/>
    <mergeCell ref="AI7:AI23"/>
    <mergeCell ref="AJ7:AJ23"/>
    <mergeCell ref="AK7:AK23"/>
    <mergeCell ref="AL7:AL23"/>
    <mergeCell ref="Q7:Q23"/>
    <mergeCell ref="R7:R23"/>
    <mergeCell ref="S7:S23"/>
    <mergeCell ref="T7:T23"/>
    <mergeCell ref="U7:U23"/>
    <mergeCell ref="V7:V23"/>
    <mergeCell ref="CL25:CL40"/>
    <mergeCell ref="CM25:CM40"/>
    <mergeCell ref="CJ7:CJ23"/>
    <mergeCell ref="CK7:CK23"/>
    <mergeCell ref="CL7:CL23"/>
    <mergeCell ref="CM7:CM23"/>
    <mergeCell ref="AN25:AN40"/>
    <mergeCell ref="CG25:CG40"/>
    <mergeCell ref="CH25:CH40"/>
    <mergeCell ref="CI25:CI40"/>
    <mergeCell ref="CJ25:CJ40"/>
    <mergeCell ref="CK25:CK40"/>
    <mergeCell ref="BU25:BU40"/>
    <mergeCell ref="BV25:BV40"/>
    <mergeCell ref="AZ25:AZ40"/>
    <mergeCell ref="BA25:BA40"/>
    <mergeCell ref="AH25:AH40"/>
    <mergeCell ref="AI25:AI40"/>
    <mergeCell ref="AJ25:AJ40"/>
    <mergeCell ref="AK25:AK40"/>
    <mergeCell ref="AL25:AL40"/>
    <mergeCell ref="AM25:AM40"/>
    <mergeCell ref="CK42:CK56"/>
    <mergeCell ref="CL42:CL56"/>
    <mergeCell ref="CM42:CM56"/>
    <mergeCell ref="Q25:Q40"/>
    <mergeCell ref="R25:R40"/>
    <mergeCell ref="S25:S40"/>
    <mergeCell ref="T25:T40"/>
    <mergeCell ref="U25:U40"/>
    <mergeCell ref="V25:V40"/>
    <mergeCell ref="W25:W40"/>
    <mergeCell ref="AM42:AM56"/>
    <mergeCell ref="AN42:AN56"/>
    <mergeCell ref="CG42:CG56"/>
    <mergeCell ref="CH42:CH56"/>
    <mergeCell ref="CI42:CI56"/>
    <mergeCell ref="CJ42:CJ56"/>
    <mergeCell ref="AY42:AY56"/>
    <mergeCell ref="AZ42:AZ56"/>
    <mergeCell ref="BA42:BA56"/>
    <mergeCell ref="BC42:BC56"/>
    <mergeCell ref="W42:W56"/>
    <mergeCell ref="AH42:AH56"/>
    <mergeCell ref="AI42:AI56"/>
    <mergeCell ref="AJ42:AJ56"/>
    <mergeCell ref="AK42:AK56"/>
    <mergeCell ref="AL42:AL56"/>
    <mergeCell ref="CJ58:CJ64"/>
    <mergeCell ref="CK58:CK64"/>
    <mergeCell ref="CL58:CL64"/>
    <mergeCell ref="CM58:CM64"/>
    <mergeCell ref="Q42:Q56"/>
    <mergeCell ref="R42:R56"/>
    <mergeCell ref="S42:S56"/>
    <mergeCell ref="T42:T56"/>
    <mergeCell ref="U42:U56"/>
    <mergeCell ref="V42:V56"/>
    <mergeCell ref="AL58:AL64"/>
    <mergeCell ref="AM58:AM64"/>
    <mergeCell ref="AN58:AN64"/>
    <mergeCell ref="CG58:CG64"/>
    <mergeCell ref="CH58:CH64"/>
    <mergeCell ref="CI58:CI64"/>
    <mergeCell ref="BT58:BT64"/>
    <mergeCell ref="BU58:BU64"/>
    <mergeCell ref="BV58:BV64"/>
    <mergeCell ref="V58:V64"/>
    <mergeCell ref="W58:W64"/>
    <mergeCell ref="AH58:AH64"/>
    <mergeCell ref="AI58:AI64"/>
    <mergeCell ref="AJ58:AJ64"/>
    <mergeCell ref="AK58:AK64"/>
    <mergeCell ref="BV66:BV98"/>
    <mergeCell ref="BE66:BE98"/>
    <mergeCell ref="CK66:CK98"/>
    <mergeCell ref="CL66:CL98"/>
    <mergeCell ref="CM66:CM98"/>
    <mergeCell ref="Q58:Q64"/>
    <mergeCell ref="R58:R64"/>
    <mergeCell ref="S58:S64"/>
    <mergeCell ref="T58:T64"/>
    <mergeCell ref="U58:U64"/>
    <mergeCell ref="AM66:AM98"/>
    <mergeCell ref="AN66:AN98"/>
    <mergeCell ref="CG66:CG98"/>
    <mergeCell ref="CH66:CH98"/>
    <mergeCell ref="CI66:CI98"/>
    <mergeCell ref="CJ66:CJ98"/>
    <mergeCell ref="BR66:BR98"/>
    <mergeCell ref="BS66:BS98"/>
    <mergeCell ref="BT66:BT98"/>
    <mergeCell ref="BU66:BU98"/>
    <mergeCell ref="W66:W98"/>
    <mergeCell ref="AH66:AH98"/>
    <mergeCell ref="AI66:AI98"/>
    <mergeCell ref="AJ66:AJ98"/>
    <mergeCell ref="AK66:AK98"/>
    <mergeCell ref="AL66:AL98"/>
    <mergeCell ref="Q66:Q98"/>
    <mergeCell ref="R66:R98"/>
    <mergeCell ref="S66:S98"/>
    <mergeCell ref="T66:T98"/>
    <mergeCell ref="U66:U98"/>
    <mergeCell ref="V66:V98"/>
    <mergeCell ref="AJ100:AJ119"/>
    <mergeCell ref="AK100:AK119"/>
    <mergeCell ref="AL100:AL119"/>
    <mergeCell ref="AM100:AM119"/>
    <mergeCell ref="AN100:AN119"/>
    <mergeCell ref="CG100:CG119"/>
    <mergeCell ref="BP100:BP119"/>
    <mergeCell ref="BQ100:BQ119"/>
    <mergeCell ref="BR100:BR119"/>
    <mergeCell ref="BT100:BT119"/>
    <mergeCell ref="CM100:CM119"/>
    <mergeCell ref="Q100:Q119"/>
    <mergeCell ref="R100:R119"/>
    <mergeCell ref="S100:S119"/>
    <mergeCell ref="T100:T119"/>
    <mergeCell ref="U100:U119"/>
    <mergeCell ref="V100:V119"/>
    <mergeCell ref="W100:W119"/>
    <mergeCell ref="AH100:AH119"/>
    <mergeCell ref="AI100:AI119"/>
    <mergeCell ref="AM121:AM128"/>
    <mergeCell ref="AN121:AN128"/>
    <mergeCell ref="CG121:CG128"/>
    <mergeCell ref="CH121:CH128"/>
    <mergeCell ref="CI121:CI128"/>
    <mergeCell ref="CL100:CL119"/>
    <mergeCell ref="CH100:CH119"/>
    <mergeCell ref="CI100:CI119"/>
    <mergeCell ref="CJ100:CJ119"/>
    <mergeCell ref="CK100:CK119"/>
    <mergeCell ref="W121:W128"/>
    <mergeCell ref="AH121:AH128"/>
    <mergeCell ref="AI121:AI128"/>
    <mergeCell ref="AJ121:AJ128"/>
    <mergeCell ref="AK121:AK128"/>
    <mergeCell ref="AL121:AL128"/>
    <mergeCell ref="Q121:Q128"/>
    <mergeCell ref="R121:R128"/>
    <mergeCell ref="S121:S128"/>
    <mergeCell ref="T121:T128"/>
    <mergeCell ref="U121:U128"/>
    <mergeCell ref="V121:V128"/>
    <mergeCell ref="CL130:CL157"/>
    <mergeCell ref="CM130:CM157"/>
    <mergeCell ref="CJ121:CJ128"/>
    <mergeCell ref="CK121:CK128"/>
    <mergeCell ref="CL121:CL128"/>
    <mergeCell ref="CM121:CM128"/>
    <mergeCell ref="AN130:AN157"/>
    <mergeCell ref="CG130:CG157"/>
    <mergeCell ref="CH130:CH157"/>
    <mergeCell ref="CI130:CI157"/>
    <mergeCell ref="CJ130:CJ157"/>
    <mergeCell ref="CK130:CK157"/>
    <mergeCell ref="BP130:BP157"/>
    <mergeCell ref="BQ130:BQ157"/>
    <mergeCell ref="BR130:BR157"/>
    <mergeCell ref="BS130:BS157"/>
    <mergeCell ref="AH130:AH157"/>
    <mergeCell ref="AI130:AI157"/>
    <mergeCell ref="AJ130:AJ157"/>
    <mergeCell ref="AK130:AK157"/>
    <mergeCell ref="AL130:AL157"/>
    <mergeCell ref="AM130:AM157"/>
    <mergeCell ref="CK159:CK164"/>
    <mergeCell ref="CL159:CL164"/>
    <mergeCell ref="CM159:CM164"/>
    <mergeCell ref="Q130:Q157"/>
    <mergeCell ref="R130:R157"/>
    <mergeCell ref="S130:S157"/>
    <mergeCell ref="T130:T157"/>
    <mergeCell ref="U130:U157"/>
    <mergeCell ref="V130:V157"/>
    <mergeCell ref="W130:W157"/>
    <mergeCell ref="BV159:BV164"/>
    <mergeCell ref="AY159:AY164"/>
    <mergeCell ref="AZ159:AZ164"/>
    <mergeCell ref="BA159:BA164"/>
    <mergeCell ref="BB159:BB164"/>
    <mergeCell ref="BC159:BC164"/>
    <mergeCell ref="BD159:BD164"/>
    <mergeCell ref="BE159:BE164"/>
    <mergeCell ref="AM159:AM164"/>
    <mergeCell ref="AN159:AN164"/>
    <mergeCell ref="CG159:CG164"/>
    <mergeCell ref="CH159:CH164"/>
    <mergeCell ref="CI159:CI164"/>
    <mergeCell ref="CJ159:CJ164"/>
    <mergeCell ref="BR159:BR164"/>
    <mergeCell ref="BS159:BS164"/>
    <mergeCell ref="BT159:BT164"/>
    <mergeCell ref="BU159:BU164"/>
    <mergeCell ref="W159:W164"/>
    <mergeCell ref="AH159:AH164"/>
    <mergeCell ref="AI159:AI164"/>
    <mergeCell ref="AJ159:AJ164"/>
    <mergeCell ref="AK159:AK164"/>
    <mergeCell ref="AL159:AL164"/>
    <mergeCell ref="Q159:Q164"/>
    <mergeCell ref="R159:R164"/>
    <mergeCell ref="S159:S164"/>
    <mergeCell ref="T159:T164"/>
    <mergeCell ref="U159:U164"/>
    <mergeCell ref="V159:V164"/>
    <mergeCell ref="AM166:AM174"/>
    <mergeCell ref="AN166:AN174"/>
    <mergeCell ref="CG166:CG174"/>
    <mergeCell ref="CH166:CH174"/>
    <mergeCell ref="CI166:CI174"/>
    <mergeCell ref="CJ166:CJ174"/>
    <mergeCell ref="BP166:BP174"/>
    <mergeCell ref="BQ166:BQ174"/>
    <mergeCell ref="BR166:BR174"/>
    <mergeCell ref="BS166:BS174"/>
    <mergeCell ref="W166:W174"/>
    <mergeCell ref="AH166:AH174"/>
    <mergeCell ref="AI166:AI174"/>
    <mergeCell ref="AJ166:AJ174"/>
    <mergeCell ref="AK166:AK174"/>
    <mergeCell ref="AL166:AL174"/>
    <mergeCell ref="Q166:Q174"/>
    <mergeCell ref="R166:R174"/>
    <mergeCell ref="S166:S174"/>
    <mergeCell ref="T166:T174"/>
    <mergeCell ref="U166:U174"/>
    <mergeCell ref="V166:V174"/>
    <mergeCell ref="CK176:CK191"/>
    <mergeCell ref="CL176:CL191"/>
    <mergeCell ref="CM176:CM191"/>
    <mergeCell ref="CK166:CK174"/>
    <mergeCell ref="CL166:CL174"/>
    <mergeCell ref="CM166:CM174"/>
    <mergeCell ref="CH176:CH191"/>
    <mergeCell ref="CI176:CI191"/>
    <mergeCell ref="CJ176:CJ191"/>
    <mergeCell ref="BP176:BP191"/>
    <mergeCell ref="BQ176:BQ191"/>
    <mergeCell ref="BR176:BR191"/>
    <mergeCell ref="BS176:BS191"/>
    <mergeCell ref="BT176:BT191"/>
    <mergeCell ref="BU176:BU191"/>
    <mergeCell ref="BV176:BV191"/>
    <mergeCell ref="AJ176:AJ191"/>
    <mergeCell ref="AK176:AK191"/>
    <mergeCell ref="AL176:AL191"/>
    <mergeCell ref="AM176:AM191"/>
    <mergeCell ref="AN176:AN191"/>
    <mergeCell ref="CG176:CG191"/>
    <mergeCell ref="AY176:AY191"/>
    <mergeCell ref="AZ176:AZ191"/>
    <mergeCell ref="BD176:BD191"/>
    <mergeCell ref="BE176:BE191"/>
    <mergeCell ref="CM193:CM198"/>
    <mergeCell ref="Q176:Q191"/>
    <mergeCell ref="R176:R191"/>
    <mergeCell ref="S176:S191"/>
    <mergeCell ref="T176:T191"/>
    <mergeCell ref="U176:U191"/>
    <mergeCell ref="V176:V191"/>
    <mergeCell ref="W176:W191"/>
    <mergeCell ref="AH176:AH191"/>
    <mergeCell ref="AI176:AI191"/>
    <mergeCell ref="CG193:CG198"/>
    <mergeCell ref="CH193:CH198"/>
    <mergeCell ref="CI193:CI198"/>
    <mergeCell ref="CJ193:CJ198"/>
    <mergeCell ref="CK193:CK198"/>
    <mergeCell ref="CL193:CL198"/>
    <mergeCell ref="AI193:AI198"/>
    <mergeCell ref="AJ193:AJ198"/>
    <mergeCell ref="AK193:AK198"/>
    <mergeCell ref="AL193:AL198"/>
    <mergeCell ref="AM193:AM198"/>
    <mergeCell ref="AN193:AN198"/>
    <mergeCell ref="CL200:CL213"/>
    <mergeCell ref="CM200:CM213"/>
    <mergeCell ref="Q193:Q198"/>
    <mergeCell ref="R193:R198"/>
    <mergeCell ref="S193:S198"/>
    <mergeCell ref="T193:T198"/>
    <mergeCell ref="U193:U198"/>
    <mergeCell ref="V193:V198"/>
    <mergeCell ref="W193:W198"/>
    <mergeCell ref="AH193:AH198"/>
    <mergeCell ref="BA200:BA213"/>
    <mergeCell ref="BB200:BB213"/>
    <mergeCell ref="BC200:BC213"/>
    <mergeCell ref="BD200:BD213"/>
    <mergeCell ref="BE200:BE213"/>
    <mergeCell ref="CK200:CK213"/>
    <mergeCell ref="CJ200:CJ213"/>
    <mergeCell ref="BR200:BR213"/>
    <mergeCell ref="BS200:BS213"/>
    <mergeCell ref="BT200:BT213"/>
    <mergeCell ref="BU200:BU213"/>
    <mergeCell ref="BV200:BV213"/>
    <mergeCell ref="AL200:AL213"/>
    <mergeCell ref="AM200:AM213"/>
    <mergeCell ref="AN200:AN213"/>
    <mergeCell ref="CG200:CG213"/>
    <mergeCell ref="CH200:CH213"/>
    <mergeCell ref="CI200:CI213"/>
    <mergeCell ref="BP200:BP213"/>
    <mergeCell ref="BQ200:BQ213"/>
    <mergeCell ref="AY200:AY213"/>
    <mergeCell ref="AZ200:AZ213"/>
    <mergeCell ref="V200:V213"/>
    <mergeCell ref="W200:W213"/>
    <mergeCell ref="AH200:AH213"/>
    <mergeCell ref="AI200:AI213"/>
    <mergeCell ref="AJ200:AJ213"/>
    <mergeCell ref="AK200:AK213"/>
    <mergeCell ref="AY215:AY223"/>
    <mergeCell ref="AZ215:AZ223"/>
    <mergeCell ref="BA215:BA223"/>
    <mergeCell ref="BB215:BB223"/>
    <mergeCell ref="BC215:BC223"/>
    <mergeCell ref="Q200:Q213"/>
    <mergeCell ref="R200:R213"/>
    <mergeCell ref="S200:S213"/>
    <mergeCell ref="T200:T213"/>
    <mergeCell ref="U200:U213"/>
    <mergeCell ref="CG215:CG223"/>
    <mergeCell ref="CH215:CH223"/>
    <mergeCell ref="BP215:BP223"/>
    <mergeCell ref="BQ215:BQ223"/>
    <mergeCell ref="BR215:BR223"/>
    <mergeCell ref="BS215:BS223"/>
    <mergeCell ref="BT215:BT223"/>
    <mergeCell ref="BU215:BU223"/>
    <mergeCell ref="BV215:BV223"/>
    <mergeCell ref="V215:V223"/>
    <mergeCell ref="W215:W223"/>
    <mergeCell ref="AH215:AH223"/>
    <mergeCell ref="AI215:AI223"/>
    <mergeCell ref="CM215:CM223"/>
    <mergeCell ref="AJ215:AJ223"/>
    <mergeCell ref="AK215:AK223"/>
    <mergeCell ref="AL215:AL223"/>
    <mergeCell ref="AM215:AM223"/>
    <mergeCell ref="AN215:AN223"/>
    <mergeCell ref="BT225:BT240"/>
    <mergeCell ref="BU225:BU240"/>
    <mergeCell ref="BV225:BV240"/>
    <mergeCell ref="AY225:AY240"/>
    <mergeCell ref="AZ225:AZ240"/>
    <mergeCell ref="BA225:BA240"/>
    <mergeCell ref="BB225:BB240"/>
    <mergeCell ref="BC225:BC240"/>
    <mergeCell ref="CM225:CM240"/>
    <mergeCell ref="CI215:CI223"/>
    <mergeCell ref="CJ215:CJ223"/>
    <mergeCell ref="AJ225:AJ240"/>
    <mergeCell ref="AK225:AK240"/>
    <mergeCell ref="AL225:AL240"/>
    <mergeCell ref="AM225:AM240"/>
    <mergeCell ref="AN225:AN240"/>
    <mergeCell ref="CG225:CG240"/>
    <mergeCell ref="CH225:CH240"/>
    <mergeCell ref="CL225:CL240"/>
    <mergeCell ref="BD225:BD240"/>
    <mergeCell ref="BE225:BE240"/>
    <mergeCell ref="Q215:Q223"/>
    <mergeCell ref="R215:R223"/>
    <mergeCell ref="S215:S223"/>
    <mergeCell ref="T215:T223"/>
    <mergeCell ref="U215:U223"/>
    <mergeCell ref="CK215:CK223"/>
    <mergeCell ref="CL215:CL223"/>
    <mergeCell ref="W225:W240"/>
    <mergeCell ref="AH225:AH240"/>
    <mergeCell ref="AI225:AI240"/>
    <mergeCell ref="CI225:CI240"/>
    <mergeCell ref="CJ225:CJ240"/>
    <mergeCell ref="CK225:CK240"/>
    <mergeCell ref="BP225:BP240"/>
    <mergeCell ref="BQ225:BQ240"/>
    <mergeCell ref="BR225:BR240"/>
    <mergeCell ref="BS225:BS240"/>
    <mergeCell ref="E1:F1"/>
    <mergeCell ref="Q4:V4"/>
    <mergeCell ref="AH4:AM4"/>
    <mergeCell ref="CG4:CL4"/>
    <mergeCell ref="Q225:Q240"/>
    <mergeCell ref="R225:R240"/>
    <mergeCell ref="S225:S240"/>
    <mergeCell ref="T225:T240"/>
    <mergeCell ref="U225:U240"/>
    <mergeCell ref="V225:V240"/>
  </mergeCells>
  <conditionalFormatting sqref="O27:O38">
    <cfRule type="cellIs" dxfId="81" priority="77" operator="notEqual">
      <formula>1</formula>
    </cfRule>
  </conditionalFormatting>
  <conditionalFormatting sqref="O25:O38">
    <cfRule type="cellIs" dxfId="80" priority="76" operator="notEqual">
      <formula>1</formula>
    </cfRule>
  </conditionalFormatting>
  <conditionalFormatting sqref="O7:O38 O214:O256 O158:O199 O45:O65 O41:O43 O120:O126 O129">
    <cfRule type="cellIs" dxfId="79" priority="75" operator="notEqual">
      <formula>1</formula>
    </cfRule>
  </conditionalFormatting>
  <conditionalFormatting sqref="O7">
    <cfRule type="cellIs" dxfId="78" priority="82" operator="notEqual">
      <formula>1</formula>
    </cfRule>
  </conditionalFormatting>
  <conditionalFormatting sqref="O39:O40">
    <cfRule type="cellIs" dxfId="77" priority="68" operator="notEqual">
      <formula>1</formula>
    </cfRule>
  </conditionalFormatting>
  <conditionalFormatting sqref="O8">
    <cfRule type="cellIs" dxfId="76" priority="81" operator="notEqual">
      <formula>1</formula>
    </cfRule>
  </conditionalFormatting>
  <conditionalFormatting sqref="O9:O21">
    <cfRule type="cellIs" dxfId="75" priority="80" operator="notEqual">
      <formula>1</formula>
    </cfRule>
  </conditionalFormatting>
  <conditionalFormatting sqref="O25">
    <cfRule type="cellIs" dxfId="74" priority="79" operator="notEqual">
      <formula>1</formula>
    </cfRule>
  </conditionalFormatting>
  <conditionalFormatting sqref="O200:O208 O211:O213">
    <cfRule type="cellIs" dxfId="73" priority="74" operator="notEqual">
      <formula>1</formula>
    </cfRule>
  </conditionalFormatting>
  <conditionalFormatting sqref="O130:O157">
    <cfRule type="cellIs" dxfId="72" priority="73" operator="notEqual">
      <formula>1</formula>
    </cfRule>
  </conditionalFormatting>
  <conditionalFormatting sqref="O66:O119">
    <cfRule type="cellIs" dxfId="71" priority="72" operator="notEqual">
      <formula>1</formula>
    </cfRule>
  </conditionalFormatting>
  <conditionalFormatting sqref="O44">
    <cfRule type="cellIs" dxfId="70" priority="71" operator="notEqual">
      <formula>1</formula>
    </cfRule>
  </conditionalFormatting>
  <conditionalFormatting sqref="O39:O40">
    <cfRule type="cellIs" dxfId="69" priority="70" operator="notEqual">
      <formula>1</formula>
    </cfRule>
  </conditionalFormatting>
  <conditionalFormatting sqref="O39:O40">
    <cfRule type="cellIs" dxfId="68" priority="69" operator="notEqual">
      <formula>1</formula>
    </cfRule>
  </conditionalFormatting>
  <conditionalFormatting sqref="O26">
    <cfRule type="cellIs" dxfId="67" priority="78" operator="notEqual">
      <formula>1</formula>
    </cfRule>
  </conditionalFormatting>
  <conditionalFormatting sqref="D220:D221">
    <cfRule type="cellIs" dxfId="66" priority="67" stopIfTrue="1" operator="equal">
      <formula>"rezervní řádek"</formula>
    </cfRule>
  </conditionalFormatting>
  <conditionalFormatting sqref="AF27:AF38">
    <cfRule type="cellIs" dxfId="65" priority="61" operator="notEqual">
      <formula>1</formula>
    </cfRule>
  </conditionalFormatting>
  <conditionalFormatting sqref="AF25:AF38">
    <cfRule type="cellIs" dxfId="64" priority="60" operator="notEqual">
      <formula>1</formula>
    </cfRule>
  </conditionalFormatting>
  <conditionalFormatting sqref="AF7:AF38 AF214:AF256 AF158:AF186 AF120:AF129 AF45:AF65 AF41:AF43 AF190:AF199">
    <cfRule type="cellIs" dxfId="63" priority="59" operator="notEqual">
      <formula>1</formula>
    </cfRule>
  </conditionalFormatting>
  <conditionalFormatting sqref="AF7">
    <cfRule type="cellIs" dxfId="62" priority="66" operator="notEqual">
      <formula>1</formula>
    </cfRule>
  </conditionalFormatting>
  <conditionalFormatting sqref="AF39:AF40">
    <cfRule type="cellIs" dxfId="61" priority="52" operator="notEqual">
      <formula>1</formula>
    </cfRule>
  </conditionalFormatting>
  <conditionalFormatting sqref="AF8">
    <cfRule type="cellIs" dxfId="60" priority="65" operator="notEqual">
      <formula>1</formula>
    </cfRule>
  </conditionalFormatting>
  <conditionalFormatting sqref="AF9:AF21">
    <cfRule type="cellIs" dxfId="59" priority="64" operator="notEqual">
      <formula>1</formula>
    </cfRule>
  </conditionalFormatting>
  <conditionalFormatting sqref="AF25">
    <cfRule type="cellIs" dxfId="58" priority="63" operator="notEqual">
      <formula>1</formula>
    </cfRule>
  </conditionalFormatting>
  <conditionalFormatting sqref="AF200:AF208 AF211:AF213">
    <cfRule type="cellIs" dxfId="57" priority="58" operator="notEqual">
      <formula>1</formula>
    </cfRule>
  </conditionalFormatting>
  <conditionalFormatting sqref="AF130:AF157">
    <cfRule type="cellIs" dxfId="56" priority="57" operator="notEqual">
      <formula>1</formula>
    </cfRule>
  </conditionalFormatting>
  <conditionalFormatting sqref="AF66:AF119">
    <cfRule type="cellIs" dxfId="55" priority="56" operator="notEqual">
      <formula>1</formula>
    </cfRule>
  </conditionalFormatting>
  <conditionalFormatting sqref="AF44">
    <cfRule type="cellIs" dxfId="54" priority="55" operator="notEqual">
      <formula>1</formula>
    </cfRule>
  </conditionalFormatting>
  <conditionalFormatting sqref="AF39:AF40">
    <cfRule type="cellIs" dxfId="53" priority="54" operator="notEqual">
      <formula>1</formula>
    </cfRule>
  </conditionalFormatting>
  <conditionalFormatting sqref="AF39:AF40">
    <cfRule type="cellIs" dxfId="52" priority="53" operator="notEqual">
      <formula>1</formula>
    </cfRule>
  </conditionalFormatting>
  <conditionalFormatting sqref="AF26">
    <cfRule type="cellIs" dxfId="51" priority="62" operator="notEqual">
      <formula>1</formula>
    </cfRule>
  </conditionalFormatting>
  <conditionalFormatting sqref="AW27:AW38">
    <cfRule type="cellIs" dxfId="50" priority="46" operator="notEqual">
      <formula>1</formula>
    </cfRule>
  </conditionalFormatting>
  <conditionalFormatting sqref="AW25:AW38">
    <cfRule type="cellIs" dxfId="49" priority="45" operator="notEqual">
      <formula>1</formula>
    </cfRule>
  </conditionalFormatting>
  <conditionalFormatting sqref="AW7:AW38 AW214:AW256 AW158:AW186 AW120:AW129 AW45:AW65 AW41:AW43 AW190:AW199">
    <cfRule type="cellIs" dxfId="48" priority="44" operator="notEqual">
      <formula>1</formula>
    </cfRule>
  </conditionalFormatting>
  <conditionalFormatting sqref="AW7">
    <cfRule type="cellIs" dxfId="47" priority="51" operator="notEqual">
      <formula>1</formula>
    </cfRule>
  </conditionalFormatting>
  <conditionalFormatting sqref="AW39:AW40">
    <cfRule type="cellIs" dxfId="46" priority="37" operator="notEqual">
      <formula>1</formula>
    </cfRule>
  </conditionalFormatting>
  <conditionalFormatting sqref="AW8">
    <cfRule type="cellIs" dxfId="45" priority="50" operator="notEqual">
      <formula>1</formula>
    </cfRule>
  </conditionalFormatting>
  <conditionalFormatting sqref="AW9:AW21">
    <cfRule type="cellIs" dxfId="44" priority="49" operator="notEqual">
      <formula>1</formula>
    </cfRule>
  </conditionalFormatting>
  <conditionalFormatting sqref="AW25">
    <cfRule type="cellIs" dxfId="43" priority="48" operator="notEqual">
      <formula>1</formula>
    </cfRule>
  </conditionalFormatting>
  <conditionalFormatting sqref="AW200:AW213">
    <cfRule type="cellIs" dxfId="42" priority="43" operator="notEqual">
      <formula>1</formula>
    </cfRule>
  </conditionalFormatting>
  <conditionalFormatting sqref="AW130:AW157">
    <cfRule type="cellIs" dxfId="41" priority="42" operator="notEqual">
      <formula>1</formula>
    </cfRule>
  </conditionalFormatting>
  <conditionalFormatting sqref="AW66:AW97 AW99:AW119">
    <cfRule type="cellIs" dxfId="40" priority="41" operator="notEqual">
      <formula>1</formula>
    </cfRule>
  </conditionalFormatting>
  <conditionalFormatting sqref="AW44">
    <cfRule type="cellIs" dxfId="39" priority="40" operator="notEqual">
      <formula>1</formula>
    </cfRule>
  </conditionalFormatting>
  <conditionalFormatting sqref="AW39:AW40">
    <cfRule type="cellIs" dxfId="38" priority="39" operator="notEqual">
      <formula>1</formula>
    </cfRule>
  </conditionalFormatting>
  <conditionalFormatting sqref="AW39:AW40">
    <cfRule type="cellIs" dxfId="37" priority="38" operator="notEqual">
      <formula>1</formula>
    </cfRule>
  </conditionalFormatting>
  <conditionalFormatting sqref="AW26">
    <cfRule type="cellIs" dxfId="36" priority="47" operator="notEqual">
      <formula>1</formula>
    </cfRule>
  </conditionalFormatting>
  <conditionalFormatting sqref="BN27:BN38">
    <cfRule type="cellIs" dxfId="35" priority="31" operator="notEqual">
      <formula>1</formula>
    </cfRule>
  </conditionalFormatting>
  <conditionalFormatting sqref="BN25:BN38">
    <cfRule type="cellIs" dxfId="34" priority="30" operator="notEqual">
      <formula>1</formula>
    </cfRule>
  </conditionalFormatting>
  <conditionalFormatting sqref="BN7:BN38 BN214:BN256 BN158:BN199 BN120:BN129 BN45:BN65 BN41:BN43">
    <cfRule type="cellIs" dxfId="33" priority="29" operator="notEqual">
      <formula>1</formula>
    </cfRule>
  </conditionalFormatting>
  <conditionalFormatting sqref="BN7">
    <cfRule type="cellIs" dxfId="32" priority="36" operator="notEqual">
      <formula>1</formula>
    </cfRule>
  </conditionalFormatting>
  <conditionalFormatting sqref="BN39:BN40">
    <cfRule type="cellIs" dxfId="31" priority="22" operator="notEqual">
      <formula>1</formula>
    </cfRule>
  </conditionalFormatting>
  <conditionalFormatting sqref="BN8">
    <cfRule type="cellIs" dxfId="30" priority="35" operator="notEqual">
      <formula>1</formula>
    </cfRule>
  </conditionalFormatting>
  <conditionalFormatting sqref="BN9:BN21">
    <cfRule type="cellIs" dxfId="29" priority="34" operator="notEqual">
      <formula>1</formula>
    </cfRule>
  </conditionalFormatting>
  <conditionalFormatting sqref="BN25">
    <cfRule type="cellIs" dxfId="28" priority="33" operator="notEqual">
      <formula>1</formula>
    </cfRule>
  </conditionalFormatting>
  <conditionalFormatting sqref="BN200:BN213">
    <cfRule type="cellIs" dxfId="27" priority="28" operator="notEqual">
      <formula>1</formula>
    </cfRule>
  </conditionalFormatting>
  <conditionalFormatting sqref="BN130:BN157">
    <cfRule type="cellIs" dxfId="26" priority="27" operator="notEqual">
      <formula>1</formula>
    </cfRule>
  </conditionalFormatting>
  <conditionalFormatting sqref="BN66:BN119">
    <cfRule type="cellIs" dxfId="25" priority="26" operator="notEqual">
      <formula>1</formula>
    </cfRule>
  </conditionalFormatting>
  <conditionalFormatting sqref="BN44">
    <cfRule type="cellIs" dxfId="24" priority="25" operator="notEqual">
      <formula>1</formula>
    </cfRule>
  </conditionalFormatting>
  <conditionalFormatting sqref="BN39:BN40">
    <cfRule type="cellIs" dxfId="23" priority="24" operator="notEqual">
      <formula>1</formula>
    </cfRule>
  </conditionalFormatting>
  <conditionalFormatting sqref="BN39:BN40">
    <cfRule type="cellIs" dxfId="22" priority="23" operator="notEqual">
      <formula>1</formula>
    </cfRule>
  </conditionalFormatting>
  <conditionalFormatting sqref="BN26">
    <cfRule type="cellIs" dxfId="21" priority="32" operator="notEqual">
      <formula>1</formula>
    </cfRule>
  </conditionalFormatting>
  <conditionalFormatting sqref="CE27:CE38">
    <cfRule type="cellIs" dxfId="20" priority="16" operator="notEqual">
      <formula>1</formula>
    </cfRule>
  </conditionalFormatting>
  <conditionalFormatting sqref="CE25:CE38">
    <cfRule type="cellIs" dxfId="19" priority="15" operator="notEqual">
      <formula>1</formula>
    </cfRule>
  </conditionalFormatting>
  <conditionalFormatting sqref="CE7:CE38 CE214:CE256 CE158:CE199 CE120:CE129 CE45:CE65 CE41:CE43">
    <cfRule type="cellIs" dxfId="18" priority="14" operator="notEqual">
      <formula>1</formula>
    </cfRule>
  </conditionalFormatting>
  <conditionalFormatting sqref="CE7">
    <cfRule type="cellIs" dxfId="17" priority="21" operator="notEqual">
      <formula>1</formula>
    </cfRule>
  </conditionalFormatting>
  <conditionalFormatting sqref="CE39:CE40">
    <cfRule type="cellIs" dxfId="16" priority="7" operator="notEqual">
      <formula>1</formula>
    </cfRule>
  </conditionalFormatting>
  <conditionalFormatting sqref="CE8">
    <cfRule type="cellIs" dxfId="15" priority="20" operator="notEqual">
      <formula>1</formula>
    </cfRule>
  </conditionalFormatting>
  <conditionalFormatting sqref="CE9:CE21">
    <cfRule type="cellIs" dxfId="14" priority="19" operator="notEqual">
      <formula>1</formula>
    </cfRule>
  </conditionalFormatting>
  <conditionalFormatting sqref="CE25">
    <cfRule type="cellIs" dxfId="13" priority="18" operator="notEqual">
      <formula>1</formula>
    </cfRule>
  </conditionalFormatting>
  <conditionalFormatting sqref="CE200:CE213">
    <cfRule type="cellIs" dxfId="12" priority="13" operator="notEqual">
      <formula>1</formula>
    </cfRule>
  </conditionalFormatting>
  <conditionalFormatting sqref="CE130:CE157">
    <cfRule type="cellIs" dxfId="11" priority="12" operator="notEqual">
      <formula>1</formula>
    </cfRule>
  </conditionalFormatting>
  <conditionalFormatting sqref="CE66:CE119">
    <cfRule type="cellIs" dxfId="10" priority="11" operator="notEqual">
      <formula>1</formula>
    </cfRule>
  </conditionalFormatting>
  <conditionalFormatting sqref="CE44">
    <cfRule type="cellIs" dxfId="9" priority="10" operator="notEqual">
      <formula>1</formula>
    </cfRule>
  </conditionalFormatting>
  <conditionalFormatting sqref="CE39:CE40">
    <cfRule type="cellIs" dxfId="8" priority="9" operator="notEqual">
      <formula>1</formula>
    </cfRule>
  </conditionalFormatting>
  <conditionalFormatting sqref="CE39:CE40">
    <cfRule type="cellIs" dxfId="7" priority="8" operator="notEqual">
      <formula>1</formula>
    </cfRule>
  </conditionalFormatting>
  <conditionalFormatting sqref="CE26">
    <cfRule type="cellIs" dxfId="6" priority="17" operator="notEqual">
      <formula>1</formula>
    </cfRule>
  </conditionalFormatting>
  <conditionalFormatting sqref="O127:O128">
    <cfRule type="cellIs" dxfId="5" priority="6" operator="notEqual">
      <formula>1</formula>
    </cfRule>
  </conditionalFormatting>
  <conditionalFormatting sqref="O209:O210">
    <cfRule type="cellIs" dxfId="4" priority="5" operator="notEqual">
      <formula>1</formula>
    </cfRule>
  </conditionalFormatting>
  <conditionalFormatting sqref="AF209:AF210">
    <cfRule type="cellIs" dxfId="3" priority="4" operator="notEqual">
      <formula>1</formula>
    </cfRule>
  </conditionalFormatting>
  <conditionalFormatting sqref="AF187:AF189">
    <cfRule type="cellIs" dxfId="2" priority="3" operator="notEqual">
      <formula>1</formula>
    </cfRule>
  </conditionalFormatting>
  <conditionalFormatting sqref="AW187:AW189">
    <cfRule type="cellIs" dxfId="1" priority="2" operator="notEqual">
      <formula>1</formula>
    </cfRule>
  </conditionalFormatting>
  <conditionalFormatting sqref="AW98">
    <cfRule type="cellIs" dxfId="0" priority="1" operator="notEqual">
      <formula>1</formula>
    </cfRule>
  </conditionalFormatting>
  <dataValidations count="2">
    <dataValidation type="list" allowBlank="1" showInputMessage="1" showErrorMessage="1" sqref="T5 BB5 BS5 AK5 CJ5">
      <formula1>"1,2,3,4,5,6,Indiv"</formula1>
    </dataValidation>
    <dataValidation type="list" allowBlank="1" showInputMessage="1" showErrorMessage="1" sqref="Q5:S5 U5:V5 AY5:BA5 BC5:BD5 BP5:BR5 BT5:BU5 AH5:AJ5 AL5:AM5 CG5:CI5 CK5:CL5">
      <formula1>"1,2,3,4,5,Indiv"</formula1>
    </dataValidation>
  </dataValidations>
  <pageMargins left="0.23622047244094491" right="0.43307086614173229" top="0.19685039370078741" bottom="0.15748031496062992" header="0.15748031496062992" footer="0.19685039370078741"/>
  <pageSetup paperSize="8" scale="43" fitToWidth="0" fitToHeight="0" orientation="landscape" r:id="rId1"/>
  <headerFooter alignWithMargins="0">
    <oddFooter>&amp;L(verze 2016-01)</oddFooter>
  </headerFooter>
  <rowBreaks count="3" manualBreakCount="3">
    <brk id="121" max="100" man="1"/>
    <brk id="129" max="100" man="1"/>
    <brk id="242" max="100" man="1"/>
  </rowBreaks>
  <colBreaks count="1" manualBreakCount="1">
    <brk id="41" min="1" max="288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List1</vt:lpstr>
      <vt:lpstr>Tabulka propočtu, verze 2020</vt:lpstr>
      <vt:lpstr>'Tabulka propočtu, verze 2020'!Názvy_tisku</vt:lpstr>
      <vt:lpstr>'Tabulka propočtu, verze 2020'!Oblast_tisku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Brejchová Renáta, Mgr.</dc:creator>
  <cp:lastModifiedBy>Brejchová Renáta, Mgr.</cp:lastModifiedBy>
  <dcterms:created xsi:type="dcterms:W3CDTF">2023-10-30T10:00:24Z</dcterms:created>
  <dcterms:modified xsi:type="dcterms:W3CDTF">2023-10-30T10:02:06Z</dcterms:modified>
</cp:coreProperties>
</file>